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tanleyt\Documents\Farm Budgets\1A Budgets Posted to VCE Rockbridge\"/>
    </mc:Choice>
  </mc:AlternateContent>
  <xr:revisionPtr revIDLastSave="0" documentId="13_ncr:1_{41BADADE-70CA-4EEC-AB23-52312D3804C3}" xr6:coauthVersionLast="47" xr6:coauthVersionMax="47" xr10:uidLastSave="{00000000-0000-0000-0000-000000000000}"/>
  <bookViews>
    <workbookView xWindow="-108" yWindow="-108" windowWidth="24792" windowHeight="13320" xr2:uid="{0FE93EFA-DB97-48A7-AA4F-558A519FD550}"/>
  </bookViews>
  <sheets>
    <sheet name="Sheep" sheetId="1" r:id="rId1"/>
  </sheets>
  <definedNames>
    <definedName name="_xlnm.Print_Area" localSheetId="0">Sheep!$A$1:$J$134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2" i="1" l="1"/>
  <c r="K76" i="1"/>
  <c r="J118" i="1"/>
  <c r="I116" i="1"/>
  <c r="I115" i="1"/>
  <c r="I114" i="1"/>
  <c r="I113" i="1"/>
  <c r="I112" i="1"/>
  <c r="F111" i="1"/>
  <c r="I111" i="1" s="1"/>
  <c r="J117" i="1" s="1"/>
  <c r="A110" i="1"/>
  <c r="I108" i="1"/>
  <c r="I107" i="1"/>
  <c r="I106" i="1"/>
  <c r="I105" i="1"/>
  <c r="I104" i="1"/>
  <c r="I103" i="1"/>
  <c r="F102" i="1"/>
  <c r="I102" i="1" s="1"/>
  <c r="I99" i="1"/>
  <c r="I98" i="1"/>
  <c r="I97" i="1"/>
  <c r="I96" i="1"/>
  <c r="I95" i="1"/>
  <c r="F94" i="1"/>
  <c r="I94" i="1" s="1"/>
  <c r="D93" i="1"/>
  <c r="J100" i="1" s="1"/>
  <c r="A93" i="1"/>
  <c r="J89" i="1"/>
  <c r="J88" i="1"/>
  <c r="J87" i="1"/>
  <c r="J91" i="1" s="1"/>
  <c r="I49" i="1" s="1"/>
  <c r="L83" i="1"/>
  <c r="J80" i="1"/>
  <c r="J73" i="1"/>
  <c r="J79" i="1" s="1"/>
  <c r="J72" i="1"/>
  <c r="G72" i="1"/>
  <c r="G145" i="1" s="1"/>
  <c r="G146" i="1" s="1"/>
  <c r="F72" i="1"/>
  <c r="F145" i="1" s="1"/>
  <c r="F146" i="1" s="1"/>
  <c r="E72" i="1"/>
  <c r="D72" i="1"/>
  <c r="A69" i="1"/>
  <c r="B62" i="1"/>
  <c r="B61" i="1"/>
  <c r="B60" i="1"/>
  <c r="B58" i="1"/>
  <c r="B57" i="1"/>
  <c r="J55" i="1"/>
  <c r="I55" i="1"/>
  <c r="H55" i="1"/>
  <c r="F55" i="1"/>
  <c r="E55" i="1"/>
  <c r="D55" i="1"/>
  <c r="G48" i="1"/>
  <c r="I48" i="1" s="1"/>
  <c r="I44" i="1"/>
  <c r="J44" i="1" s="1"/>
  <c r="H44" i="1"/>
  <c r="H43" i="1"/>
  <c r="I43" i="1" s="1"/>
  <c r="H42" i="1"/>
  <c r="I42" i="1" s="1"/>
  <c r="H41" i="1"/>
  <c r="I41" i="1" s="1"/>
  <c r="I40" i="1"/>
  <c r="H40" i="1"/>
  <c r="H34" i="1"/>
  <c r="I34" i="1" s="1"/>
  <c r="H33" i="1"/>
  <c r="I33" i="1" s="1"/>
  <c r="J33" i="1" s="1"/>
  <c r="I32" i="1"/>
  <c r="H32" i="1"/>
  <c r="I31" i="1"/>
  <c r="H31" i="1"/>
  <c r="H29" i="1"/>
  <c r="E26" i="1"/>
  <c r="A26" i="1"/>
  <c r="E25" i="1"/>
  <c r="A25" i="1"/>
  <c r="E24" i="1"/>
  <c r="A24" i="1"/>
  <c r="E23" i="1"/>
  <c r="A23" i="1"/>
  <c r="E22" i="1"/>
  <c r="A22" i="1"/>
  <c r="E21" i="1"/>
  <c r="A21" i="1"/>
  <c r="E20" i="1"/>
  <c r="A20" i="1"/>
  <c r="E19" i="1"/>
  <c r="A19" i="1"/>
  <c r="I15" i="1"/>
  <c r="H15" i="1"/>
  <c r="B13" i="1"/>
  <c r="B12" i="1"/>
  <c r="H12" i="1" s="1"/>
  <c r="I12" i="1" s="1"/>
  <c r="A7" i="1"/>
  <c r="I72" i="1" s="1"/>
  <c r="K79" i="1" l="1"/>
  <c r="H23" i="1" s="1"/>
  <c r="K78" i="1"/>
  <c r="H22" i="1" s="1"/>
  <c r="I22" i="1" s="1"/>
  <c r="H28" i="1"/>
  <c r="I28" i="1" s="1"/>
  <c r="B14" i="1"/>
  <c r="H14" i="1" s="1"/>
  <c r="I14" i="1" s="1"/>
  <c r="H30" i="1"/>
  <c r="I30" i="1" s="1"/>
  <c r="K80" i="1"/>
  <c r="H24" i="1" s="1"/>
  <c r="I24" i="1" s="1"/>
  <c r="J75" i="1"/>
  <c r="J81" i="1"/>
  <c r="K75" i="1"/>
  <c r="H19" i="1" s="1"/>
  <c r="I19" i="1" s="1"/>
  <c r="K81" i="1"/>
  <c r="H25" i="1" s="1"/>
  <c r="I25" i="1" s="1"/>
  <c r="B11" i="1"/>
  <c r="J76" i="1"/>
  <c r="H20" i="1" s="1"/>
  <c r="I20" i="1" s="1"/>
  <c r="J82" i="1"/>
  <c r="K82" i="1" s="1"/>
  <c r="H26" i="1" s="1"/>
  <c r="I26" i="1" s="1"/>
  <c r="J77" i="1"/>
  <c r="D145" i="1"/>
  <c r="D146" i="1" s="1"/>
  <c r="K77" i="1"/>
  <c r="H21" i="1" s="1"/>
  <c r="I21" i="1" s="1"/>
  <c r="J78" i="1"/>
  <c r="A101" i="1"/>
  <c r="J109" i="1" s="1"/>
  <c r="J120" i="1" s="1"/>
  <c r="F29" i="1" s="1"/>
  <c r="I29" i="1" s="1"/>
  <c r="H13" i="1"/>
  <c r="I13" i="1" s="1"/>
  <c r="H36" i="1" l="1"/>
  <c r="H35" i="1"/>
  <c r="I35" i="1" s="1"/>
  <c r="H39" i="1"/>
  <c r="I39" i="1" s="1"/>
  <c r="H38" i="1"/>
  <c r="F38" i="1" s="1"/>
  <c r="I38" i="1" s="1"/>
  <c r="H11" i="1"/>
  <c r="I11" i="1" s="1"/>
  <c r="I16" i="1" s="1"/>
  <c r="H37" i="1"/>
  <c r="I37" i="1" s="1"/>
  <c r="F36" i="1"/>
  <c r="I36" i="1" s="1"/>
  <c r="H27" i="1"/>
  <c r="I27" i="1" s="1"/>
  <c r="I23" i="1"/>
  <c r="J25" i="1" l="1"/>
  <c r="H45" i="1"/>
  <c r="I45" i="1" s="1"/>
  <c r="J37" i="1" s="1"/>
  <c r="J39" i="1" s="1"/>
  <c r="J27" i="1"/>
  <c r="G16" i="1"/>
  <c r="I47" i="1" l="1"/>
  <c r="I51" i="1" s="1"/>
  <c r="I60" i="1" l="1"/>
  <c r="G61" i="1"/>
  <c r="F58" i="1"/>
  <c r="G62" i="1"/>
  <c r="J62" i="1"/>
  <c r="F60" i="1"/>
  <c r="H62" i="1"/>
  <c r="D61" i="1"/>
  <c r="I61" i="1"/>
  <c r="E62" i="1"/>
  <c r="F61" i="1"/>
  <c r="F59" i="1"/>
  <c r="E57" i="1"/>
  <c r="H59" i="1"/>
  <c r="G59" i="1"/>
  <c r="I57" i="1"/>
  <c r="E59" i="1"/>
  <c r="H57" i="1"/>
  <c r="I58" i="1"/>
  <c r="J60" i="1"/>
  <c r="J57" i="1"/>
  <c r="D62" i="1"/>
  <c r="G57" i="1"/>
  <c r="F62" i="1"/>
  <c r="D57" i="1"/>
  <c r="I59" i="1"/>
  <c r="I62" i="1"/>
  <c r="J61" i="1"/>
  <c r="G58" i="1"/>
  <c r="G47" i="1"/>
  <c r="E60" i="1"/>
  <c r="J58" i="1"/>
  <c r="E58" i="1"/>
  <c r="F57" i="1"/>
  <c r="H61" i="1"/>
  <c r="H60" i="1"/>
  <c r="G60" i="1"/>
  <c r="J59" i="1"/>
  <c r="D60" i="1"/>
  <c r="D59" i="1"/>
  <c r="E61" i="1"/>
  <c r="H58" i="1"/>
  <c r="D58" i="1"/>
  <c r="G5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Eric Eberly</author>
  </authors>
  <commentList>
    <comment ref="E6" authorId="0" shapeId="0" xr:uid="{20006A58-D471-469A-83E3-11909C11E647}">
      <text>
        <r>
          <rPr>
            <sz val="8"/>
            <color indexed="81"/>
            <rFont val="Tahoma"/>
            <family val="2"/>
          </rPr>
          <t xml:space="preserve">Percent of Rams, Ewes and Replacement Ewes that have left the flock for any reason.
</t>
        </r>
      </text>
    </comment>
    <comment ref="E7" authorId="0" shapeId="0" xr:uid="{DAB9572B-3B1A-4E31-8300-311A68A93F97}">
      <text>
        <r>
          <rPr>
            <b/>
            <sz val="8"/>
            <color indexed="81"/>
            <rFont val="Tahoma"/>
            <family val="2"/>
          </rPr>
          <t>Average Daily Gain</t>
        </r>
      </text>
    </comment>
    <comment ref="B11" authorId="0" shapeId="0" xr:uid="{40CF5C57-19E3-4B08-8CCD-8153BED7962C}">
      <text>
        <r>
          <rPr>
            <b/>
            <sz val="8"/>
            <color indexed="81"/>
            <rFont val="Tahoma"/>
            <family val="2"/>
          </rPr>
          <t xml:space="preserve">Number of Head (Rounded Up)
</t>
        </r>
      </text>
    </comment>
    <comment ref="B13" authorId="0" shapeId="0" xr:uid="{C9CCB544-4D70-4EC2-99BA-C363271A8B3D}">
      <text>
        <r>
          <rPr>
            <b/>
            <sz val="8"/>
            <color indexed="81"/>
            <rFont val="Tahoma"/>
            <family val="2"/>
          </rPr>
          <t>Number Rounded Up when the fraction of a ewe exceeds .25 Head</t>
        </r>
      </text>
    </comment>
    <comment ref="B14" authorId="0" shapeId="0" xr:uid="{F3B40E39-A75B-4C47-8971-E1673F9C835E}">
      <text>
        <r>
          <rPr>
            <b/>
            <sz val="8"/>
            <color indexed="81"/>
            <rFont val="Tahoma"/>
            <family val="2"/>
          </rPr>
          <t>25% of Rams Culled Annually (Rounded Up)</t>
        </r>
      </text>
    </comment>
    <comment ref="B18" authorId="0" shapeId="0" xr:uid="{6FEF4C9C-0F85-48F0-82CA-67DF9BA2EC73}">
      <text>
        <r>
          <rPr>
            <b/>
            <sz val="8"/>
            <color indexed="81"/>
            <rFont val="Tahoma"/>
            <family val="2"/>
          </rPr>
          <t>Storage, Handling &amp; Feeding Loss. Your values cound be significantly different.</t>
        </r>
      </text>
    </comment>
    <comment ref="B29" authorId="0" shapeId="0" xr:uid="{33CEEAC9-9063-4F6E-A63F-08ED9AEB9B61}">
      <text>
        <r>
          <rPr>
            <b/>
            <sz val="8"/>
            <color indexed="81"/>
            <rFont val="Tahoma"/>
            <family val="2"/>
          </rPr>
          <t>Enter your Vet &amp; Medicine Costs if totals on Page 2, Section 10 do not apply.</t>
        </r>
      </text>
    </comment>
    <comment ref="F29" authorId="0" shapeId="0" xr:uid="{2041D6B2-826B-4290-8627-15B9C325EEB1}">
      <text>
        <r>
          <rPr>
            <b/>
            <sz val="8"/>
            <color indexed="81"/>
            <rFont val="Tahoma"/>
            <family val="2"/>
          </rPr>
          <t>Vet &amp; Medicine totals are from Page 2, Section 10.</t>
        </r>
      </text>
    </comment>
    <comment ref="B36" authorId="0" shapeId="0" xr:uid="{ACFF9AB9-1B0F-49F0-914C-58DFEC6BC192}">
      <text>
        <r>
          <rPr>
            <b/>
            <sz val="8"/>
            <color indexed="81"/>
            <rFont val="Tahoma"/>
            <family val="2"/>
          </rPr>
          <t>Option: You can enter your actual marketing cost per head here.</t>
        </r>
      </text>
    </comment>
    <comment ref="F36" authorId="0" shapeId="0" xr:uid="{DA979842-0934-4883-88E7-B466040EC2F6}">
      <text>
        <r>
          <rPr>
            <b/>
            <sz val="8"/>
            <color indexed="81"/>
            <rFont val="Tahoma"/>
            <family val="2"/>
          </rPr>
          <t>Marketing Charge is $3.00 per Head plus 3% of Gross Sale Proceeds.</t>
        </r>
      </text>
    </comment>
    <comment ref="B38" authorId="0" shapeId="0" xr:uid="{54DC79DB-CB4B-454E-902E-1EDA8B1D8ADE}">
      <text>
        <r>
          <rPr>
            <b/>
            <sz val="8"/>
            <color indexed="81"/>
            <rFont val="Tahoma"/>
            <family val="2"/>
          </rPr>
          <t>Option: You can enter your actual marketing cost per head here.</t>
        </r>
      </text>
    </comment>
    <comment ref="F38" authorId="0" shapeId="0" xr:uid="{EB814D19-E0B7-4DE4-BA9D-EFBEF9E891FB}">
      <text>
        <r>
          <rPr>
            <b/>
            <sz val="8"/>
            <color indexed="81"/>
            <rFont val="Tahoma"/>
            <family val="2"/>
          </rPr>
          <t>Marketing Charge is $3 per Head plus 3% of Gross Sale Proceeds.</t>
        </r>
      </text>
    </comment>
    <comment ref="F44" authorId="0" shapeId="0" xr:uid="{6C42EFA2-3ECB-4217-890E-7C71D2656C49}">
      <text>
        <r>
          <rPr>
            <b/>
            <sz val="8"/>
            <color indexed="81"/>
            <rFont val="Tahoma"/>
            <family val="2"/>
          </rPr>
          <t>Add FICA and other employer paid taxes to hourly wage.</t>
        </r>
      </text>
    </comment>
    <comment ref="H45" authorId="0" shapeId="0" xr:uid="{60AD64C9-6811-404F-8163-177A762FE802}">
      <text>
        <r>
          <rPr>
            <b/>
            <sz val="8"/>
            <color indexed="81"/>
            <rFont val="Tahoma"/>
            <family val="2"/>
          </rPr>
          <t>Total Variable Cost - Hauling &amp; Marketing Expense.</t>
        </r>
      </text>
    </comment>
    <comment ref="I72" authorId="0" shapeId="0" xr:uid="{BB623DA9-DD13-48FE-9963-AE6B4A27409A}">
      <text>
        <r>
          <rPr>
            <b/>
            <sz val="8"/>
            <color indexed="81"/>
            <rFont val="Tahoma"/>
            <family val="2"/>
          </rPr>
          <t>Includes 20% of lamb death loss that consumed feed prior to weaning.</t>
        </r>
      </text>
    </comment>
    <comment ref="L73" authorId="0" shapeId="0" xr:uid="{92BAEFAD-38F9-43C4-93B7-D685F458A082}">
      <text>
        <r>
          <rPr>
            <sz val="8"/>
            <color indexed="81"/>
            <rFont val="Tahoma"/>
            <family val="2"/>
          </rPr>
          <t>Composition of post weaning finishing ration.
Percent on an as-fed basis.</t>
        </r>
      </text>
    </comment>
    <comment ref="C74" authorId="0" shapeId="0" xr:uid="{EBC03833-36B1-4D61-A305-C9F37555D5FE}">
      <text>
        <r>
          <rPr>
            <b/>
            <sz val="8"/>
            <color indexed="81"/>
            <rFont val="Tahoma"/>
            <family val="2"/>
          </rPr>
          <t>Unit = Weight in Pounds of Feed when purchased by the Bushel or Cwt. Otherwise leave blank for tons.</t>
        </r>
      </text>
    </comment>
    <comment ref="A75" authorId="0" shapeId="0" xr:uid="{AAA81A29-D306-40A6-85C2-AA3B846A2C6D}">
      <text>
        <r>
          <rPr>
            <b/>
            <sz val="8"/>
            <color indexed="81"/>
            <rFont val="Tahoma"/>
            <family val="2"/>
          </rPr>
          <t>Alfalfa Hay Analysis
DM  91%
CP   17%
TDN 55%</t>
        </r>
      </text>
    </comment>
    <comment ref="A76" authorId="0" shapeId="0" xr:uid="{5C3DEFF8-F3B9-4AC1-8D9E-EFBA62CD6037}">
      <text>
        <r>
          <rPr>
            <b/>
            <sz val="8"/>
            <color indexed="81"/>
            <rFont val="Tahoma"/>
            <family val="2"/>
          </rPr>
          <t>Mixed Hay Analysis
DM  89%
CP  12.8%
TDN 65%</t>
        </r>
      </text>
    </comment>
    <comment ref="A77" authorId="0" shapeId="0" xr:uid="{51C3F0EE-883D-474C-981D-0E51766C21F9}">
      <text>
        <r>
          <rPr>
            <b/>
            <sz val="8"/>
            <color indexed="81"/>
            <rFont val="Tahoma"/>
            <family val="2"/>
          </rPr>
          <t>Grass Hay Analysis
DM   91%
CP 10.5%
TDN  54%</t>
        </r>
      </text>
    </comment>
    <comment ref="A101" authorId="0" shapeId="0" xr:uid="{1ECBA521-B7A7-4133-B5CF-16330BD4BB9F}">
      <text>
        <r>
          <rPr>
            <b/>
            <sz val="8"/>
            <color indexed="81"/>
            <rFont val="Tahoma"/>
            <family val="2"/>
          </rPr>
          <t>50% of Lamb Death Loss recieves heath program.
Rounded Up at .25 Head.</t>
        </r>
      </text>
    </comment>
  </commentList>
</comments>
</file>

<file path=xl/sharedStrings.xml><?xml version="1.0" encoding="utf-8"?>
<sst xmlns="http://schemas.openxmlformats.org/spreadsheetml/2006/main" count="499" uniqueCount="172">
  <si>
    <t xml:space="preserve">PUBLICATION 446-047 </t>
  </si>
  <si>
    <t/>
  </si>
  <si>
    <t>EWES</t>
  </si>
  <si>
    <t>LAMB CROP</t>
  </si>
  <si>
    <t>RAMS</t>
  </si>
  <si>
    <t>OF LAMBS ENTER FEEDLOT (2 PHASE)</t>
  </si>
  <si>
    <t>LAMB  Death Loss</t>
  </si>
  <si>
    <t>CULLS</t>
  </si>
  <si>
    <t>LBS. AVERAGE WEIGHT ENTERING FEEDLOT</t>
  </si>
  <si>
    <t>= Lambs Raised per Ewe</t>
  </si>
  <si>
    <t>ADG</t>
  </si>
  <si>
    <t>TO 1 POST WEANING FEED CONVERSION</t>
  </si>
  <si>
    <t>= % of lambs unthrifty</t>
  </si>
  <si>
    <t>ITEM</t>
  </si>
  <si>
    <t>HEAD</t>
  </si>
  <si>
    <t>CWT</t>
  </si>
  <si>
    <t>UNIT</t>
  </si>
  <si>
    <t>PRICE</t>
  </si>
  <si>
    <t>QUANTITY</t>
  </si>
  <si>
    <t>TOTAL</t>
  </si>
  <si>
    <t>1. GROSS RECEIPTS</t>
  </si>
  <si>
    <t xml:space="preserve"> Lambs</t>
  </si>
  <si>
    <t>@</t>
  </si>
  <si>
    <t>Cwt</t>
  </si>
  <si>
    <t xml:space="preserve"> __________</t>
  </si>
  <si>
    <t>Unthrify Lambs</t>
  </si>
  <si>
    <t xml:space="preserve"> Cull Ewes</t>
  </si>
  <si>
    <t xml:space="preserve"> Cull Ram</t>
  </si>
  <si>
    <t xml:space="preserve"> Wool</t>
  </si>
  <si>
    <t>Lbs/Head</t>
  </si>
  <si>
    <t>2. TOTAL GROSS RECEIPTS</t>
  </si>
  <si>
    <t>Per Ewe</t>
  </si>
  <si>
    <t>3. VARIABLE COSTS</t>
  </si>
  <si>
    <t>Feed Loss</t>
  </si>
  <si>
    <t>Feed Costs / Ewe</t>
  </si>
  <si>
    <t xml:space="preserve"> Grinding &amp; Mixing</t>
  </si>
  <si>
    <t xml:space="preserve"> Salt &amp; Mineral</t>
  </si>
  <si>
    <t>Lbs per Ewe</t>
  </si>
  <si>
    <t>Vet&amp;Med/Ewe</t>
  </si>
  <si>
    <t xml:space="preserve"> Vet &amp; Medicine</t>
  </si>
  <si>
    <t>$/Head</t>
  </si>
  <si>
    <t>Head</t>
  </si>
  <si>
    <t xml:space="preserve"> Shearing</t>
  </si>
  <si>
    <t xml:space="preserve"> Supplies</t>
  </si>
  <si>
    <t xml:space="preserve"> Replacement Ram</t>
  </si>
  <si>
    <t>Land Rental/Ewe</t>
  </si>
  <si>
    <t>Land Rental</t>
  </si>
  <si>
    <t>Acres per Ewe</t>
  </si>
  <si>
    <t>Acre</t>
  </si>
  <si>
    <t xml:space="preserve"> Pasture</t>
  </si>
  <si>
    <t xml:space="preserve"> Haul Cull Sheep</t>
  </si>
  <si>
    <t xml:space="preserve"> Market Cull Sheep</t>
  </si>
  <si>
    <t xml:space="preserve"> Haul Sheep</t>
  </si>
  <si>
    <t xml:space="preserve"> Market Sheep</t>
  </si>
  <si>
    <t xml:space="preserve"> Virginia Check-off</t>
  </si>
  <si>
    <t xml:space="preserve"> Building &amp; Fence Repairs</t>
  </si>
  <si>
    <t xml:space="preserve"> Utilities</t>
  </si>
  <si>
    <t xml:space="preserve"> Bedding</t>
  </si>
  <si>
    <t>Ton</t>
  </si>
  <si>
    <t xml:space="preserve"> Machinery (Non-Crop)</t>
  </si>
  <si>
    <t xml:space="preserve"> Labor</t>
  </si>
  <si>
    <t>Hours per Ewe</t>
  </si>
  <si>
    <t>Hours</t>
  </si>
  <si>
    <t xml:space="preserve"> Operating Interest</t>
  </si>
  <si>
    <t>Months</t>
  </si>
  <si>
    <t>Dollars</t>
  </si>
  <si>
    <t>4. TOTAL VARIABLE COSTS</t>
  </si>
  <si>
    <t>Retention of ewe lambs for expansion:</t>
  </si>
  <si>
    <t>Value/hd</t>
  </si>
  <si>
    <t>5. ANNUAL DEBT PAYMENTS</t>
  </si>
  <si>
    <t>6. PROJECTED NET RETURN TO EQUITY, MANAGEMENT, &amp; FAMILY LABOR</t>
  </si>
  <si>
    <t>7. Price Sensitivity Analysis</t>
  </si>
  <si>
    <t>Percent Change in Total Gross Receipts</t>
  </si>
  <si>
    <t>--- Net Cash Return over Total Variable Costs per Ewe ---</t>
  </si>
  <si>
    <t>Percent</t>
  </si>
  <si>
    <t>Change in</t>
  </si>
  <si>
    <t>Total Variable</t>
  </si>
  <si>
    <t>Costs</t>
  </si>
  <si>
    <t>Table Sensitivity</t>
  </si>
  <si>
    <t>Developed by Virginia Cooperative Extension Farm Business Management Staff</t>
  </si>
  <si>
    <t>Page 2</t>
  </si>
  <si>
    <t>8. FEED RATIONS (AS-FED BASIS)</t>
  </si>
  <si>
    <t>Ewes</t>
  </si>
  <si>
    <t xml:space="preserve">Feeder </t>
  </si>
  <si>
    <t>Market</t>
  </si>
  <si>
    <t xml:space="preserve"> </t>
  </si>
  <si>
    <t>E. Gestation</t>
  </si>
  <si>
    <t>Flush</t>
  </si>
  <si>
    <t>L. Gestation</t>
  </si>
  <si>
    <t>Lactation</t>
  </si>
  <si>
    <t>Rams</t>
  </si>
  <si>
    <t>Lambs &lt;60#</t>
  </si>
  <si>
    <t>Lambs</t>
  </si>
  <si>
    <t>Total</t>
  </si>
  <si>
    <t>Lamb</t>
  </si>
  <si>
    <t>Number Head =</t>
  </si>
  <si>
    <t>Quantity</t>
  </si>
  <si>
    <t>Ration</t>
  </si>
  <si>
    <t xml:space="preserve"> Feed</t>
  </si>
  <si>
    <t>Days Fed =</t>
  </si>
  <si>
    <t>(Tons)</t>
  </si>
  <si>
    <t>Unit</t>
  </si>
  <si>
    <t xml:space="preserve"> Alfalfa Hay, Bloom</t>
  </si>
  <si>
    <t>Lbs/Head/Day</t>
  </si>
  <si>
    <t xml:space="preserve"> Mixed Hay, 2nd Cutting</t>
  </si>
  <si>
    <t xml:space="preserve"> Grass Hay, Average</t>
  </si>
  <si>
    <t xml:space="preserve"> Pelleted Supplement</t>
  </si>
  <si>
    <t xml:space="preserve"> Corn Grain</t>
  </si>
  <si>
    <t xml:space="preserve"> Bulk Commodity</t>
  </si>
  <si>
    <t xml:space="preserve"> Dical</t>
  </si>
  <si>
    <t xml:space="preserve"> 9. ANNUAL DEBT SERVICE</t>
  </si>
  <si>
    <t>Amount</t>
  </si>
  <si>
    <t>Length</t>
  </si>
  <si>
    <t>Annual</t>
  </si>
  <si>
    <t xml:space="preserve">  Item</t>
  </si>
  <si>
    <t>Borrowed</t>
  </si>
  <si>
    <t>Interest</t>
  </si>
  <si>
    <t>of Loan</t>
  </si>
  <si>
    <t>to Sheep</t>
  </si>
  <si>
    <t>Payment</t>
  </si>
  <si>
    <t xml:space="preserve"> Ewes</t>
  </si>
  <si>
    <t xml:space="preserve"> Item Name</t>
  </si>
  <si>
    <t xml:space="preserve">       TOTAL ANNUAL DEBT PAYMENTS</t>
  </si>
  <si>
    <t xml:space="preserve"> 10. ANIMAL HEALTH PROGRAM</t>
  </si>
  <si>
    <t>Ivermectin Drench</t>
  </si>
  <si>
    <t>Lbs</t>
  </si>
  <si>
    <t>3 ml./26 Lbs</t>
  </si>
  <si>
    <t>/Liter</t>
  </si>
  <si>
    <t>Ovine Vibrio</t>
  </si>
  <si>
    <t>cc</t>
  </si>
  <si>
    <t>Dose @</t>
  </si>
  <si>
    <t>/Dose</t>
  </si>
  <si>
    <t>8 Way Booster</t>
  </si>
  <si>
    <t>Other</t>
  </si>
  <si>
    <t>SUB-TOTAL EWES &amp; RAMS</t>
  </si>
  <si>
    <t>LAMBS</t>
  </si>
  <si>
    <t>BO-SE</t>
  </si>
  <si>
    <t>8 Way</t>
  </si>
  <si>
    <t>SUB-TOTAL LAMBS</t>
  </si>
  <si>
    <t>REPLACEMENT EWES</t>
  </si>
  <si>
    <t>SUB-TOTAL REPLACEMENT EWES</t>
  </si>
  <si>
    <t>Your Farm Veterinarian</t>
  </si>
  <si>
    <t>Trip(s) @</t>
  </si>
  <si>
    <t>Per Trip</t>
  </si>
  <si>
    <t>.</t>
  </si>
  <si>
    <t>TOTAL HEALTH COST FOR EWE FLOCK =</t>
  </si>
  <si>
    <t>Trade and brand names are used only for the purpose of providing information.  Virginia Cooperative Extension does not guarantee or warrant</t>
  </si>
  <si>
    <t>the standard of any product named to the exclusion of others which also may be suitable.</t>
  </si>
  <si>
    <t>Number of Ewes per Group per Month</t>
  </si>
  <si>
    <t>Maintenance</t>
  </si>
  <si>
    <t>Gestation</t>
  </si>
  <si>
    <t>December</t>
  </si>
  <si>
    <t>January</t>
  </si>
  <si>
    <t>February</t>
  </si>
  <si>
    <t>March</t>
  </si>
  <si>
    <t>April 1 - 15</t>
  </si>
  <si>
    <t>April 16 - 30</t>
  </si>
  <si>
    <t>Ewe Days</t>
  </si>
  <si>
    <t>Days per Ewe</t>
  </si>
  <si>
    <t>Sheep Production</t>
  </si>
  <si>
    <t>2024*</t>
  </si>
  <si>
    <t>*this is a budget template tool.  User must update/confirm values</t>
  </si>
  <si>
    <t>Pasture Dry Matter</t>
  </si>
  <si>
    <t>Early Lactation</t>
  </si>
  <si>
    <t>L. Lactation &amp; Dry</t>
  </si>
  <si>
    <t>NOTES</t>
  </si>
  <si>
    <t>Total Feed Costs</t>
  </si>
  <si>
    <t>Blue Numbers are variables user can change to customize the budget to their situation, changing other numbers will destroy formulas and compromise spreadsheet functionality.</t>
  </si>
  <si>
    <t>All Other Costs, Not Labor</t>
  </si>
  <si>
    <t>All Other Costs Not Labor/Ewe</t>
  </si>
  <si>
    <t>Labor/Ewe</t>
  </si>
  <si>
    <t>No. Head: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</si>
</sst>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164" formatCode="&quot;$&quot;#,##0.00"/>
    <numFmt numFmtId="165" formatCode="0_)"/>
    <numFmt numFmtId="166" formatCode="0_);\(0\)"/>
    <numFmt numFmtId="167" formatCode="0.00_);\(0.00\)"/>
    <numFmt numFmtId="168" formatCode="0.0_)"/>
    <numFmt numFmtId="169" formatCode="mm/dd/yy_)"/>
    <numFmt numFmtId="170" formatCode="0.00_)"/>
    <numFmt numFmtId="171" formatCode="0.0%"/>
    <numFmt numFmtId="172" formatCode="General_)"/>
    <numFmt numFmtId="173" formatCode="&quot;$&quot;#,##0.00;[Red]&quot;$&quot;#,##0.00"/>
    <numFmt numFmtId="174" formatCode="dd\-mmm\-yy_)"/>
    <numFmt numFmtId="175" formatCode="0.0_);\(0.0\)"/>
  </numFmts>
  <fonts count="30" x14ac:knownFonts="1">
    <font>
      <sz val="12"/>
      <color indexed="8"/>
      <name val="Arial"/>
    </font>
    <font>
      <sz val="12"/>
      <color indexed="8"/>
      <name val="Arial"/>
      <family val="2"/>
    </font>
    <font>
      <b/>
      <sz val="16"/>
      <name val="Arial Narrow"/>
      <family val="2"/>
    </font>
    <font>
      <sz val="12"/>
      <color indexed="13"/>
      <name val="Arial"/>
      <family val="2"/>
    </font>
    <font>
      <sz val="12"/>
      <name val="Arial"/>
      <family val="2"/>
    </font>
    <font>
      <b/>
      <sz val="18"/>
      <color indexed="8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12"/>
      <name val="Arial"/>
      <family val="2"/>
    </font>
    <font>
      <sz val="10"/>
      <color rgb="FF0070C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 Narrow"/>
      <family val="2"/>
    </font>
    <font>
      <sz val="8"/>
      <color indexed="12"/>
      <name val="Arial"/>
      <family val="2"/>
    </font>
    <font>
      <sz val="9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 Narrow"/>
      <family val="2"/>
    </font>
    <font>
      <b/>
      <sz val="10"/>
      <color rgb="FF0000FF"/>
      <name val="Arial"/>
      <family val="2"/>
    </font>
    <font>
      <sz val="8"/>
      <color rgb="FF070BB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12"/>
      </bottom>
      <diagonal/>
    </border>
    <border>
      <left/>
      <right/>
      <top style="hair">
        <color indexed="12"/>
      </top>
      <bottom style="hair">
        <color indexed="12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2" fontId="0" fillId="0" borderId="0"/>
  </cellStyleXfs>
  <cellXfs count="190">
    <xf numFmtId="2" fontId="0" fillId="0" borderId="0" xfId="0"/>
    <xf numFmtId="2" fontId="1" fillId="0" borderId="0" xfId="0" applyFont="1" applyProtection="1"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2" fontId="1" fillId="2" borderId="0" xfId="0" applyFont="1" applyFill="1" applyProtection="1">
      <protection locked="0"/>
    </xf>
    <xf numFmtId="0" fontId="2" fillId="3" borderId="0" xfId="0" applyNumberFormat="1" applyFont="1" applyFill="1" applyAlignment="1">
      <alignment horizontal="center"/>
    </xf>
    <xf numFmtId="2" fontId="3" fillId="3" borderId="0" xfId="0" applyFont="1" applyFill="1" applyProtection="1">
      <protection locked="0"/>
    </xf>
    <xf numFmtId="164" fontId="3" fillId="3" borderId="0" xfId="0" applyNumberFormat="1" applyFont="1" applyFill="1" applyAlignment="1" applyProtection="1">
      <alignment horizontal="center"/>
      <protection locked="0"/>
    </xf>
    <xf numFmtId="2" fontId="4" fillId="3" borderId="0" xfId="0" applyFont="1" applyFill="1" applyAlignment="1" applyProtection="1">
      <alignment horizontal="right"/>
      <protection locked="0"/>
    </xf>
    <xf numFmtId="2" fontId="1" fillId="0" borderId="0" xfId="0" applyFont="1" applyAlignment="1">
      <alignment horizontal="fill"/>
    </xf>
    <xf numFmtId="164" fontId="5" fillId="0" borderId="0" xfId="0" applyNumberFormat="1" applyFont="1" applyAlignment="1" applyProtection="1">
      <alignment horizontal="center"/>
      <protection locked="0"/>
    </xf>
    <xf numFmtId="2" fontId="1" fillId="4" borderId="0" xfId="0" applyFont="1" applyFill="1" applyProtection="1">
      <protection locked="0"/>
    </xf>
    <xf numFmtId="2" fontId="3" fillId="0" borderId="0" xfId="0" applyFont="1" applyProtection="1">
      <protection locked="0"/>
    </xf>
    <xf numFmtId="165" fontId="6" fillId="0" borderId="0" xfId="0" applyNumberFormat="1" applyFont="1" applyProtection="1">
      <protection locked="0"/>
    </xf>
    <xf numFmtId="2" fontId="7" fillId="0" borderId="0" xfId="0" applyFont="1" applyAlignment="1">
      <alignment horizontal="left"/>
    </xf>
    <xf numFmtId="9" fontId="8" fillId="0" borderId="0" xfId="0" applyNumberFormat="1" applyFont="1" applyProtection="1">
      <protection locked="0"/>
    </xf>
    <xf numFmtId="2" fontId="9" fillId="0" borderId="0" xfId="0" applyFont="1" applyAlignment="1">
      <alignment horizontal="left"/>
    </xf>
    <xf numFmtId="164" fontId="10" fillId="0" borderId="0" xfId="0" applyNumberFormat="1" applyFont="1" applyAlignment="1" applyProtection="1">
      <alignment horizontal="left"/>
      <protection locked="0"/>
    </xf>
    <xf numFmtId="2" fontId="11" fillId="0" borderId="0" xfId="0" applyFont="1"/>
    <xf numFmtId="1" fontId="12" fillId="0" borderId="0" xfId="0" applyNumberFormat="1" applyFont="1" applyProtection="1">
      <protection locked="0"/>
    </xf>
    <xf numFmtId="2" fontId="10" fillId="0" borderId="0" xfId="0" applyFont="1" applyProtection="1">
      <protection locked="0"/>
    </xf>
    <xf numFmtId="167" fontId="10" fillId="0" borderId="0" xfId="0" applyNumberFormat="1" applyFont="1" applyProtection="1">
      <protection locked="0"/>
    </xf>
    <xf numFmtId="2" fontId="9" fillId="0" borderId="0" xfId="0" quotePrefix="1" applyFont="1" applyAlignment="1">
      <alignment horizontal="left"/>
    </xf>
    <xf numFmtId="2" fontId="13" fillId="4" borderId="0" xfId="0" applyFont="1" applyFill="1" applyProtection="1">
      <protection locked="0"/>
    </xf>
    <xf numFmtId="167" fontId="8" fillId="0" borderId="0" xfId="0" applyNumberFormat="1" applyFont="1" applyProtection="1">
      <protection locked="0"/>
    </xf>
    <xf numFmtId="168" fontId="8" fillId="0" borderId="0" xfId="0" applyNumberFormat="1" applyFont="1" applyProtection="1">
      <protection locked="0"/>
    </xf>
    <xf numFmtId="165" fontId="9" fillId="0" borderId="0" xfId="0" applyNumberFormat="1" applyFont="1"/>
    <xf numFmtId="2" fontId="9" fillId="0" borderId="0" xfId="0" quotePrefix="1" applyFont="1"/>
    <xf numFmtId="169" fontId="14" fillId="0" borderId="0" xfId="0" applyNumberFormat="1" applyFont="1" applyProtection="1">
      <protection locked="0"/>
    </xf>
    <xf numFmtId="2" fontId="11" fillId="0" borderId="1" xfId="0" applyFont="1" applyBorder="1" applyAlignment="1">
      <alignment horizontal="left"/>
    </xf>
    <xf numFmtId="2" fontId="11" fillId="0" borderId="1" xfId="0" applyFont="1" applyBorder="1" applyAlignment="1">
      <alignment horizontal="right"/>
    </xf>
    <xf numFmtId="2" fontId="4" fillId="0" borderId="1" xfId="0" applyFont="1" applyBorder="1"/>
    <xf numFmtId="2" fontId="11" fillId="0" borderId="1" xfId="0" applyFont="1" applyBorder="1" applyAlignment="1">
      <alignment horizontal="center"/>
    </xf>
    <xf numFmtId="2" fontId="11" fillId="0" borderId="1" xfId="0" applyFont="1" applyBorder="1"/>
    <xf numFmtId="2" fontId="4" fillId="0" borderId="0" xfId="0" applyFont="1"/>
    <xf numFmtId="2" fontId="11" fillId="0" borderId="0" xfId="0" applyFont="1" applyAlignment="1">
      <alignment horizontal="center"/>
    </xf>
    <xf numFmtId="2" fontId="11" fillId="0" borderId="0" xfId="0" applyFont="1" applyAlignment="1">
      <alignment horizontal="left"/>
    </xf>
    <xf numFmtId="166" fontId="11" fillId="0" borderId="0" xfId="0" quotePrefix="1" applyNumberFormat="1" applyFont="1"/>
    <xf numFmtId="165" fontId="11" fillId="0" borderId="0" xfId="0" applyNumberFormat="1" applyFont="1" applyAlignment="1">
      <alignment horizontal="left"/>
    </xf>
    <xf numFmtId="170" fontId="14" fillId="0" borderId="0" xfId="0" applyNumberFormat="1" applyFont="1" applyProtection="1">
      <protection locked="0"/>
    </xf>
    <xf numFmtId="7" fontId="14" fillId="0" borderId="0" xfId="0" applyNumberFormat="1" applyFont="1" applyProtection="1">
      <protection locked="0"/>
    </xf>
    <xf numFmtId="170" fontId="11" fillId="0" borderId="0" xfId="0" applyNumberFormat="1" applyFont="1"/>
    <xf numFmtId="7" fontId="11" fillId="0" borderId="0" xfId="0" applyNumberFormat="1" applyFont="1"/>
    <xf numFmtId="165" fontId="11" fillId="0" borderId="0" xfId="0" applyNumberFormat="1" applyFont="1"/>
    <xf numFmtId="2" fontId="1" fillId="0" borderId="0" xfId="0" applyFont="1"/>
    <xf numFmtId="0" fontId="1" fillId="0" borderId="0" xfId="0" applyNumberFormat="1" applyFont="1"/>
    <xf numFmtId="2" fontId="9" fillId="0" borderId="0" xfId="0" applyFont="1"/>
    <xf numFmtId="2" fontId="14" fillId="0" borderId="0" xfId="0" applyFont="1" applyProtection="1">
      <protection locked="0"/>
    </xf>
    <xf numFmtId="7" fontId="9" fillId="0" borderId="0" xfId="0" applyNumberFormat="1" applyFont="1"/>
    <xf numFmtId="171" fontId="14" fillId="0" borderId="0" xfId="0" applyNumberFormat="1" applyFont="1" applyAlignment="1" applyProtection="1">
      <alignment horizontal="center"/>
      <protection locked="0"/>
    </xf>
    <xf numFmtId="2" fontId="11" fillId="0" borderId="0" xfId="0" quotePrefix="1" applyFont="1" applyAlignment="1">
      <alignment horizontal="center"/>
    </xf>
    <xf numFmtId="170" fontId="11" fillId="0" borderId="0" xfId="0" quotePrefix="1" applyNumberFormat="1" applyFont="1"/>
    <xf numFmtId="39" fontId="14" fillId="0" borderId="0" xfId="0" applyNumberFormat="1" applyFont="1" applyProtection="1">
      <protection locked="0"/>
    </xf>
    <xf numFmtId="167" fontId="14" fillId="0" borderId="2" xfId="0" applyNumberFormat="1" applyFont="1" applyBorder="1"/>
    <xf numFmtId="170" fontId="11" fillId="0" borderId="0" xfId="0" applyNumberFormat="1" applyFont="1" applyProtection="1">
      <protection locked="0"/>
    </xf>
    <xf numFmtId="172" fontId="11" fillId="0" borderId="0" xfId="0" applyNumberFormat="1" applyFont="1"/>
    <xf numFmtId="2" fontId="11" fillId="0" borderId="0" xfId="0" applyFont="1"/>
    <xf numFmtId="167" fontId="14" fillId="0" borderId="3" xfId="0" applyNumberFormat="1" applyFont="1" applyBorder="1"/>
    <xf numFmtId="166" fontId="14" fillId="0" borderId="2" xfId="0" applyNumberFormat="1" applyFont="1" applyBorder="1"/>
    <xf numFmtId="7" fontId="11" fillId="0" borderId="0" xfId="0" quotePrefix="1" applyNumberFormat="1" applyFont="1"/>
    <xf numFmtId="7" fontId="14" fillId="0" borderId="0" xfId="0" applyNumberFormat="1" applyFont="1" applyAlignment="1">
      <alignment horizontal="right"/>
    </xf>
    <xf numFmtId="172" fontId="11" fillId="0" borderId="0" xfId="0" applyNumberFormat="1" applyFont="1" applyAlignment="1">
      <alignment horizontal="right"/>
    </xf>
    <xf numFmtId="166" fontId="14" fillId="0" borderId="2" xfId="0" applyNumberFormat="1" applyFont="1" applyBorder="1" applyAlignment="1" applyProtection="1">
      <alignment horizontal="right"/>
      <protection locked="0"/>
    </xf>
    <xf numFmtId="166" fontId="14" fillId="0" borderId="2" xfId="0" applyNumberFormat="1" applyFont="1" applyBorder="1" applyAlignment="1">
      <alignment horizontal="right"/>
    </xf>
    <xf numFmtId="10" fontId="14" fillId="0" borderId="0" xfId="0" applyNumberFormat="1" applyFont="1" applyAlignment="1" applyProtection="1">
      <alignment horizontal="left"/>
      <protection locked="0"/>
    </xf>
    <xf numFmtId="10" fontId="14" fillId="0" borderId="0" xfId="0" applyNumberFormat="1" applyFont="1" applyProtection="1">
      <protection locked="0"/>
    </xf>
    <xf numFmtId="42" fontId="11" fillId="0" borderId="0" xfId="0" applyNumberFormat="1" applyFont="1"/>
    <xf numFmtId="0" fontId="1" fillId="0" borderId="0" xfId="0" applyNumberFormat="1" applyFont="1" applyProtection="1">
      <protection locked="0"/>
    </xf>
    <xf numFmtId="2" fontId="15" fillId="0" borderId="0" xfId="0" applyFont="1"/>
    <xf numFmtId="164" fontId="0" fillId="0" borderId="0" xfId="0" applyNumberFormat="1" applyAlignment="1" applyProtection="1">
      <alignment horizontal="center"/>
      <protection locked="0"/>
    </xf>
    <xf numFmtId="2" fontId="9" fillId="0" borderId="0" xfId="0" applyFont="1" applyAlignment="1">
      <alignment horizontal="left" vertical="center"/>
    </xf>
    <xf numFmtId="7" fontId="9" fillId="0" borderId="0" xfId="0" applyNumberFormat="1" applyFont="1" applyAlignment="1">
      <alignment vertical="center"/>
    </xf>
    <xf numFmtId="2" fontId="9" fillId="0" borderId="0" xfId="0" applyFont="1" applyAlignment="1">
      <alignment vertical="center"/>
    </xf>
    <xf numFmtId="2" fontId="9" fillId="0" borderId="4" xfId="0" applyFont="1" applyBorder="1" applyAlignment="1">
      <alignment horizontal="left" vertical="center"/>
    </xf>
    <xf numFmtId="2" fontId="13" fillId="4" borderId="4" xfId="0" applyFont="1" applyFill="1" applyBorder="1" applyAlignment="1" applyProtection="1">
      <alignment vertical="center"/>
      <protection locked="0"/>
    </xf>
    <xf numFmtId="7" fontId="9" fillId="0" borderId="4" xfId="0" applyNumberFormat="1" applyFont="1" applyBorder="1" applyAlignment="1">
      <alignment vertical="center"/>
    </xf>
    <xf numFmtId="2" fontId="9" fillId="0" borderId="4" xfId="0" applyFont="1" applyBorder="1" applyAlignment="1">
      <alignment vertical="center"/>
    </xf>
    <xf numFmtId="2" fontId="11" fillId="0" borderId="4" xfId="0" applyFont="1" applyBorder="1" applyAlignment="1">
      <alignment horizontal="center"/>
    </xf>
    <xf numFmtId="2" fontId="16" fillId="0" borderId="0" xfId="0" applyFont="1"/>
    <xf numFmtId="2" fontId="11" fillId="0" borderId="0" xfId="0" applyFont="1" applyAlignment="1">
      <alignment horizontal="center"/>
    </xf>
    <xf numFmtId="1" fontId="1" fillId="0" borderId="0" xfId="0" applyNumberFormat="1" applyFont="1"/>
    <xf numFmtId="2" fontId="11" fillId="0" borderId="0" xfId="0" applyFont="1" applyAlignment="1">
      <alignment horizontal="center" textRotation="90"/>
    </xf>
    <xf numFmtId="9" fontId="11" fillId="0" borderId="5" xfId="0" applyNumberFormat="1" applyFont="1" applyBorder="1" applyAlignment="1">
      <alignment horizontal="center"/>
    </xf>
    <xf numFmtId="9" fontId="17" fillId="0" borderId="6" xfId="0" quotePrefix="1" applyNumberFormat="1" applyFont="1" applyBorder="1" applyAlignment="1">
      <alignment horizontal="center"/>
    </xf>
    <xf numFmtId="9" fontId="17" fillId="0" borderId="6" xfId="0" applyNumberFormat="1" applyFont="1" applyBorder="1" applyAlignment="1">
      <alignment horizontal="center"/>
    </xf>
    <xf numFmtId="9" fontId="11" fillId="0" borderId="0" xfId="0" applyNumberFormat="1" applyFont="1" applyAlignment="1">
      <alignment horizontal="center"/>
    </xf>
    <xf numFmtId="8" fontId="11" fillId="0" borderId="0" xfId="0" applyNumberFormat="1" applyFont="1" applyAlignment="1">
      <alignment horizontal="center"/>
    </xf>
    <xf numFmtId="8" fontId="9" fillId="0" borderId="0" xfId="0" applyNumberFormat="1" applyFont="1" applyAlignment="1">
      <alignment horizontal="center"/>
    </xf>
    <xf numFmtId="2" fontId="1" fillId="0" borderId="5" xfId="0" applyFont="1" applyBorder="1" applyProtection="1">
      <protection locked="0"/>
    </xf>
    <xf numFmtId="9" fontId="14" fillId="0" borderId="0" xfId="0" applyNumberFormat="1" applyFont="1" applyAlignment="1">
      <alignment horizontal="center"/>
    </xf>
    <xf numFmtId="173" fontId="11" fillId="0" borderId="0" xfId="0" applyNumberFormat="1" applyFont="1" applyAlignment="1">
      <alignment horizontal="left"/>
    </xf>
    <xf numFmtId="173" fontId="11" fillId="0" borderId="0" xfId="0" applyNumberFormat="1" applyFont="1" applyAlignment="1">
      <alignment horizontal="center"/>
    </xf>
    <xf numFmtId="2" fontId="1" fillId="0" borderId="4" xfId="0" applyFont="1" applyBorder="1" applyProtection="1">
      <protection locked="0"/>
    </xf>
    <xf numFmtId="9" fontId="11" fillId="0" borderId="4" xfId="0" applyNumberFormat="1" applyFont="1" applyBorder="1" applyAlignment="1">
      <alignment horizontal="center"/>
    </xf>
    <xf numFmtId="170" fontId="11" fillId="0" borderId="4" xfId="0" applyNumberFormat="1" applyFont="1" applyBorder="1"/>
    <xf numFmtId="173" fontId="11" fillId="0" borderId="4" xfId="0" applyNumberFormat="1" applyFont="1" applyBorder="1" applyAlignment="1">
      <alignment horizontal="center"/>
    </xf>
    <xf numFmtId="2" fontId="11" fillId="0" borderId="7" xfId="0" applyFont="1" applyBorder="1" applyAlignment="1">
      <alignment horizontal="center"/>
    </xf>
    <xf numFmtId="2" fontId="1" fillId="4" borderId="7" xfId="0" applyFont="1" applyFill="1" applyBorder="1" applyProtection="1">
      <protection locked="0"/>
    </xf>
    <xf numFmtId="2" fontId="7" fillId="0" borderId="1" xfId="0" applyFont="1" applyBorder="1" applyAlignment="1">
      <alignment vertical="center"/>
    </xf>
    <xf numFmtId="2" fontId="13" fillId="4" borderId="1" xfId="0" applyFont="1" applyFill="1" applyBorder="1" applyAlignment="1" applyProtection="1">
      <alignment vertical="center"/>
      <protection locked="0"/>
    </xf>
    <xf numFmtId="2" fontId="1" fillId="4" borderId="1" xfId="0" applyFont="1" applyFill="1" applyBorder="1" applyProtection="1">
      <protection locked="0"/>
    </xf>
    <xf numFmtId="2" fontId="7" fillId="0" borderId="1" xfId="0" applyFont="1" applyBorder="1"/>
    <xf numFmtId="2" fontId="7" fillId="0" borderId="1" xfId="0" applyFont="1" applyBorder="1" applyAlignment="1">
      <alignment horizontal="right" vertical="center"/>
    </xf>
    <xf numFmtId="2" fontId="11" fillId="0" borderId="6" xfId="0" applyFont="1" applyBorder="1" applyAlignment="1">
      <alignment horizontal="center"/>
    </xf>
    <xf numFmtId="2" fontId="1" fillId="4" borderId="6" xfId="0" applyFont="1" applyFill="1" applyBorder="1" applyAlignment="1" applyProtection="1">
      <alignment horizontal="center"/>
      <protection locked="0"/>
    </xf>
    <xf numFmtId="2" fontId="11" fillId="0" borderId="0" xfId="0" applyFont="1" applyAlignment="1">
      <alignment horizontal="right"/>
    </xf>
    <xf numFmtId="2" fontId="11" fillId="0" borderId="0" xfId="0" applyFont="1" applyAlignment="1" applyProtection="1">
      <alignment horizontal="right"/>
      <protection locked="0"/>
    </xf>
    <xf numFmtId="2" fontId="1" fillId="0" borderId="0" xfId="0" applyFont="1" applyAlignment="1" applyProtection="1">
      <alignment horizontal="right"/>
      <protection locked="0"/>
    </xf>
    <xf numFmtId="174" fontId="11" fillId="0" borderId="0" xfId="0" applyNumberFormat="1" applyFont="1" applyAlignment="1">
      <alignment horizontal="left"/>
    </xf>
    <xf numFmtId="2" fontId="18" fillId="0" borderId="0" xfId="0" applyFont="1" applyAlignment="1" applyProtection="1">
      <alignment horizontal="right"/>
      <protection locked="0"/>
    </xf>
    <xf numFmtId="2" fontId="10" fillId="2" borderId="0" xfId="0" applyFont="1" applyFill="1" applyAlignment="1" applyProtection="1">
      <alignment horizontal="center"/>
      <protection locked="0"/>
    </xf>
    <xf numFmtId="2" fontId="11" fillId="0" borderId="0" xfId="0" applyFont="1" applyAlignment="1">
      <alignment horizontal="right"/>
    </xf>
    <xf numFmtId="2" fontId="1" fillId="4" borderId="0" xfId="0" applyFont="1" applyFill="1" applyAlignment="1" applyProtection="1">
      <alignment horizontal="right"/>
      <protection locked="0"/>
    </xf>
    <xf numFmtId="165" fontId="11" fillId="0" borderId="0" xfId="0" applyNumberFormat="1" applyFont="1" applyProtection="1">
      <protection locked="0"/>
    </xf>
    <xf numFmtId="2" fontId="11" fillId="0" borderId="5" xfId="0" applyFont="1" applyBorder="1" applyProtection="1">
      <protection locked="0"/>
    </xf>
    <xf numFmtId="2" fontId="11" fillId="0" borderId="5" xfId="0" applyFont="1" applyBorder="1" applyAlignment="1">
      <alignment horizontal="right"/>
    </xf>
    <xf numFmtId="2" fontId="1" fillId="4" borderId="5" xfId="0" applyFont="1" applyFill="1" applyBorder="1" applyAlignment="1" applyProtection="1">
      <alignment horizontal="right"/>
      <protection locked="0"/>
    </xf>
    <xf numFmtId="165" fontId="14" fillId="0" borderId="5" xfId="0" applyNumberFormat="1" applyFont="1" applyBorder="1" applyProtection="1">
      <protection locked="0"/>
    </xf>
    <xf numFmtId="165" fontId="11" fillId="0" borderId="5" xfId="0" applyNumberFormat="1" applyFont="1" applyBorder="1"/>
    <xf numFmtId="2" fontId="10" fillId="2" borderId="5" xfId="0" applyFont="1" applyFill="1" applyBorder="1" applyAlignment="1" applyProtection="1">
      <alignment horizontal="center"/>
      <protection locked="0"/>
    </xf>
    <xf numFmtId="2" fontId="19" fillId="0" borderId="0" xfId="0" applyFont="1" applyAlignment="1">
      <alignment horizontal="right"/>
    </xf>
    <xf numFmtId="165" fontId="14" fillId="0" borderId="0" xfId="0" applyNumberFormat="1" applyFont="1" applyProtection="1">
      <protection locked="0"/>
    </xf>
    <xf numFmtId="165" fontId="14" fillId="2" borderId="0" xfId="0" applyNumberFormat="1" applyFont="1" applyFill="1" applyProtection="1">
      <protection locked="0"/>
    </xf>
    <xf numFmtId="2" fontId="14" fillId="0" borderId="0" xfId="0" applyFont="1" applyAlignment="1" applyProtection="1">
      <alignment horizontal="left"/>
      <protection locked="0"/>
    </xf>
    <xf numFmtId="2" fontId="20" fillId="0" borderId="0" xfId="0" applyFont="1" applyAlignment="1">
      <alignment horizontal="left"/>
    </xf>
    <xf numFmtId="1" fontId="21" fillId="0" borderId="0" xfId="0" applyNumberFormat="1" applyFont="1" applyAlignment="1">
      <alignment horizontal="center"/>
    </xf>
    <xf numFmtId="170" fontId="11" fillId="2" borderId="0" xfId="0" applyNumberFormat="1" applyFont="1" applyFill="1"/>
    <xf numFmtId="10" fontId="12" fillId="0" borderId="0" xfId="0" applyNumberFormat="1" applyFont="1" applyProtection="1">
      <protection locked="0"/>
    </xf>
    <xf numFmtId="10" fontId="12" fillId="0" borderId="0" xfId="0" applyNumberFormat="1" applyFont="1"/>
    <xf numFmtId="2" fontId="14" fillId="0" borderId="0" xfId="0" applyFont="1" applyAlignment="1">
      <alignment horizontal="left"/>
    </xf>
    <xf numFmtId="10" fontId="1" fillId="0" borderId="0" xfId="0" applyNumberFormat="1" applyFont="1" applyProtection="1">
      <protection locked="0"/>
    </xf>
    <xf numFmtId="2" fontId="11" fillId="0" borderId="4" xfId="0" applyFont="1" applyBorder="1" applyAlignment="1">
      <alignment horizontal="fill"/>
    </xf>
    <xf numFmtId="2" fontId="1" fillId="2" borderId="0" xfId="0" applyFont="1" applyFill="1"/>
    <xf numFmtId="170" fontId="11" fillId="0" borderId="0" xfId="0" applyNumberFormat="1" applyFont="1" applyAlignment="1">
      <alignment horizontal="right"/>
    </xf>
    <xf numFmtId="2" fontId="11" fillId="0" borderId="5" xfId="0" applyFont="1" applyBorder="1" applyAlignment="1">
      <alignment horizontal="left"/>
    </xf>
    <xf numFmtId="2" fontId="11" fillId="0" borderId="5" xfId="0" applyFont="1" applyBorder="1"/>
    <xf numFmtId="2" fontId="11" fillId="0" borderId="5" xfId="0" applyFont="1" applyBorder="1" applyAlignment="1">
      <alignment horizontal="right"/>
    </xf>
    <xf numFmtId="2" fontId="11" fillId="0" borderId="5" xfId="0" applyFont="1" applyBorder="1" applyAlignment="1">
      <alignment horizontal="center"/>
    </xf>
    <xf numFmtId="2" fontId="11" fillId="0" borderId="0" xfId="0" applyFont="1" applyAlignment="1">
      <alignment horizontal="fill"/>
    </xf>
    <xf numFmtId="37" fontId="14" fillId="0" borderId="0" xfId="0" applyNumberFormat="1" applyFont="1" applyProtection="1">
      <protection locked="0"/>
    </xf>
    <xf numFmtId="10" fontId="14" fillId="0" borderId="0" xfId="0" applyNumberFormat="1" applyFont="1" applyAlignment="1" applyProtection="1">
      <alignment horizontal="center"/>
      <protection locked="0"/>
    </xf>
    <xf numFmtId="165" fontId="14" fillId="0" borderId="0" xfId="0" applyNumberFormat="1" applyFont="1" applyAlignment="1" applyProtection="1">
      <alignment horizontal="center"/>
      <protection locked="0"/>
    </xf>
    <xf numFmtId="9" fontId="14" fillId="0" borderId="0" xfId="0" applyNumberFormat="1" applyFont="1" applyAlignment="1" applyProtection="1">
      <alignment horizontal="center"/>
      <protection locked="0"/>
    </xf>
    <xf numFmtId="4" fontId="1" fillId="2" borderId="0" xfId="0" applyNumberFormat="1" applyFont="1" applyFill="1" applyProtection="1">
      <protection locked="0"/>
    </xf>
    <xf numFmtId="2" fontId="11" fillId="0" borderId="5" xfId="0" applyFont="1" applyBorder="1" applyAlignment="1">
      <alignment horizontal="fill"/>
    </xf>
    <xf numFmtId="7" fontId="14" fillId="0" borderId="5" xfId="0" applyNumberFormat="1" applyFont="1" applyBorder="1" applyProtection="1">
      <protection locked="0"/>
    </xf>
    <xf numFmtId="2" fontId="11" fillId="0" borderId="4" xfId="0" applyFont="1" applyBorder="1"/>
    <xf numFmtId="2" fontId="4" fillId="0" borderId="4" xfId="0" applyFont="1" applyBorder="1"/>
    <xf numFmtId="165" fontId="11" fillId="0" borderId="4" xfId="0" applyNumberFormat="1" applyFont="1" applyBorder="1"/>
    <xf numFmtId="5" fontId="9" fillId="0" borderId="4" xfId="0" applyNumberFormat="1" applyFont="1" applyBorder="1" applyAlignment="1">
      <alignment horizontal="left"/>
    </xf>
    <xf numFmtId="2" fontId="9" fillId="0" borderId="4" xfId="0" applyFont="1" applyBorder="1"/>
    <xf numFmtId="165" fontId="9" fillId="0" borderId="4" xfId="0" applyNumberFormat="1" applyFont="1" applyBorder="1"/>
    <xf numFmtId="7" fontId="9" fillId="0" borderId="4" xfId="0" applyNumberFormat="1" applyFont="1" applyBorder="1"/>
    <xf numFmtId="2" fontId="13" fillId="4" borderId="0" xfId="0" applyFont="1" applyFill="1" applyProtection="1">
      <protection locked="0"/>
    </xf>
    <xf numFmtId="2" fontId="4" fillId="0" borderId="0" xfId="0" applyFont="1" applyAlignment="1">
      <alignment horizontal="center"/>
    </xf>
    <xf numFmtId="2" fontId="0" fillId="2" borderId="0" xfId="0" applyFill="1"/>
    <xf numFmtId="166" fontId="14" fillId="0" borderId="0" xfId="0" applyNumberFormat="1" applyFont="1" applyProtection="1">
      <protection locked="0"/>
    </xf>
    <xf numFmtId="2" fontId="1" fillId="0" borderId="0" xfId="0" applyFont="1" applyAlignment="1">
      <alignment horizontal="center"/>
    </xf>
    <xf numFmtId="0" fontId="14" fillId="0" borderId="0" xfId="0" applyNumberFormat="1" applyFont="1" applyProtection="1">
      <protection locked="0"/>
    </xf>
    <xf numFmtId="39" fontId="11" fillId="0" borderId="5" xfId="0" applyNumberFormat="1" applyFont="1" applyBorder="1"/>
    <xf numFmtId="39" fontId="11" fillId="0" borderId="0" xfId="0" applyNumberFormat="1" applyFont="1"/>
    <xf numFmtId="175" fontId="14" fillId="0" borderId="0" xfId="0" applyNumberFormat="1" applyFont="1" applyProtection="1">
      <protection locked="0"/>
    </xf>
    <xf numFmtId="164" fontId="1" fillId="0" borderId="0" xfId="0" quotePrefix="1" applyNumberFormat="1" applyFont="1" applyAlignment="1" applyProtection="1">
      <alignment horizontal="center"/>
      <protection locked="0"/>
    </xf>
    <xf numFmtId="164" fontId="1" fillId="0" borderId="0" xfId="0" quotePrefix="1" applyNumberFormat="1" applyFont="1" applyAlignment="1" applyProtection="1">
      <alignment horizontal="right"/>
      <protection locked="0"/>
    </xf>
    <xf numFmtId="1" fontId="1" fillId="2" borderId="0" xfId="0" applyNumberFormat="1" applyFont="1" applyFill="1" applyProtection="1">
      <protection locked="0"/>
    </xf>
    <xf numFmtId="2" fontId="14" fillId="0" borderId="0" xfId="0" applyFont="1" applyAlignment="1" applyProtection="1">
      <alignment horizontal="left"/>
      <protection locked="0"/>
    </xf>
    <xf numFmtId="2" fontId="1" fillId="4" borderId="0" xfId="0" applyFont="1" applyFill="1" applyAlignment="1" applyProtection="1">
      <alignment horizontal="left"/>
      <protection locked="0"/>
    </xf>
    <xf numFmtId="5" fontId="14" fillId="0" borderId="0" xfId="0" applyNumberFormat="1" applyFont="1" applyProtection="1">
      <protection locked="0"/>
    </xf>
    <xf numFmtId="7" fontId="9" fillId="0" borderId="8" xfId="0" applyNumberFormat="1" applyFont="1" applyBorder="1" applyAlignment="1">
      <alignment vertical="center"/>
    </xf>
    <xf numFmtId="2" fontId="18" fillId="0" borderId="9" xfId="0" applyFont="1" applyBorder="1"/>
    <xf numFmtId="2" fontId="1" fillId="0" borderId="9" xfId="0" applyFont="1" applyBorder="1"/>
    <xf numFmtId="2" fontId="1" fillId="0" borderId="9" xfId="0" applyFont="1" applyBorder="1" applyProtection="1">
      <protection locked="0"/>
    </xf>
    <xf numFmtId="164" fontId="1" fillId="0" borderId="9" xfId="0" applyNumberFormat="1" applyFont="1" applyBorder="1" applyAlignment="1" applyProtection="1">
      <alignment horizontal="center"/>
      <protection locked="0"/>
    </xf>
    <xf numFmtId="2" fontId="0" fillId="0" borderId="9" xfId="0" applyBorder="1"/>
    <xf numFmtId="2" fontId="0" fillId="0" borderId="10" xfId="0" applyBorder="1"/>
    <xf numFmtId="2" fontId="22" fillId="0" borderId="0" xfId="0" applyFont="1" applyAlignment="1">
      <alignment horizontal="center"/>
    </xf>
    <xf numFmtId="2" fontId="22" fillId="0" borderId="0" xfId="0" applyFont="1" applyAlignment="1">
      <alignment horizontal="center"/>
    </xf>
    <xf numFmtId="2" fontId="12" fillId="0" borderId="0" xfId="0" applyFont="1" applyProtection="1">
      <protection locked="0"/>
    </xf>
    <xf numFmtId="166" fontId="12" fillId="0" borderId="0" xfId="0" applyNumberFormat="1" applyFont="1" applyProtection="1">
      <protection locked="0"/>
    </xf>
    <xf numFmtId="166" fontId="12" fillId="0" borderId="0" xfId="0" applyNumberFormat="1" applyFont="1" applyAlignment="1" applyProtection="1">
      <alignment horizontal="center"/>
      <protection locked="0"/>
    </xf>
    <xf numFmtId="166" fontId="1" fillId="0" borderId="0" xfId="0" applyNumberFormat="1" applyFont="1" applyProtection="1">
      <protection locked="0"/>
    </xf>
    <xf numFmtId="166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25" fillId="0" borderId="0" xfId="0" applyNumberFormat="1" applyFont="1" applyAlignment="1">
      <alignment horizontal="center" wrapText="1"/>
    </xf>
    <xf numFmtId="2" fontId="11" fillId="0" borderId="0" xfId="0" applyFont="1" applyAlignment="1">
      <alignment horizontal="right" wrapText="1"/>
    </xf>
    <xf numFmtId="165" fontId="26" fillId="0" borderId="0" xfId="0" applyNumberFormat="1" applyFont="1" applyProtection="1">
      <protection locked="0"/>
    </xf>
    <xf numFmtId="2" fontId="27" fillId="0" borderId="0" xfId="0" applyFont="1" applyAlignment="1" applyProtection="1">
      <alignment horizontal="left" wrapText="1"/>
      <protection locked="0"/>
    </xf>
    <xf numFmtId="2" fontId="19" fillId="0" borderId="0" xfId="0" applyFont="1" applyAlignment="1">
      <alignment horizontal="center" wrapText="1"/>
    </xf>
    <xf numFmtId="164" fontId="11" fillId="0" borderId="0" xfId="0" applyNumberFormat="1" applyFont="1" applyAlignment="1">
      <alignment horizontal="center"/>
    </xf>
    <xf numFmtId="2" fontId="28" fillId="0" borderId="0" xfId="0" applyFont="1" applyAlignment="1">
      <alignment horizontal="left" vertical="center"/>
    </xf>
    <xf numFmtId="2" fontId="29" fillId="4" borderId="0" xfId="0" applyFont="1" applyFill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70BB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30480</xdr:rowOff>
    </xdr:from>
    <xdr:to>
      <xdr:col>1</xdr:col>
      <xdr:colOff>45720</xdr:colOff>
      <xdr:row>0</xdr:row>
      <xdr:rowOff>830580</xdr:rowOff>
    </xdr:to>
    <xdr:pic>
      <xdr:nvPicPr>
        <xdr:cNvPr id="2" name="Picture 17">
          <a:extLst>
            <a:ext uri="{FF2B5EF4-FFF2-40B4-BE49-F238E27FC236}">
              <a16:creationId xmlns:a16="http://schemas.microsoft.com/office/drawing/2014/main" id="{A8428B61-5BC5-42AF-BE42-2B1110729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30480"/>
          <a:ext cx="150876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BFF90-388A-46BB-BDA2-D7C91FAF5E61}">
  <sheetPr codeName="Sheet5">
    <pageSetUpPr fitToPage="1"/>
  </sheetPr>
  <dimension ref="A1:Z223"/>
  <sheetViews>
    <sheetView tabSelected="1" zoomScale="90" zoomScaleNormal="115" zoomScaleSheetLayoutView="75" workbookViewId="0">
      <selection activeCell="H4" sqref="H4:J4"/>
    </sheetView>
  </sheetViews>
  <sheetFormatPr defaultColWidth="9.7265625" defaultRowHeight="15" x14ac:dyDescent="0.25"/>
  <cols>
    <col min="1" max="1" width="17.7265625" style="1" customWidth="1"/>
    <col min="2" max="2" width="8.54296875" style="1" customWidth="1"/>
    <col min="3" max="3" width="2.7265625" style="1" customWidth="1"/>
    <col min="4" max="5" width="8.7265625" style="1" customWidth="1"/>
    <col min="6" max="6" width="8.7265625" style="2" customWidth="1"/>
    <col min="7" max="7" width="8.7265625" style="1" customWidth="1"/>
    <col min="8" max="8" width="9.7265625" style="1" customWidth="1"/>
    <col min="9" max="10" width="12.7265625" style="1" customWidth="1"/>
    <col min="11" max="11" width="6.7265625" style="1" customWidth="1"/>
    <col min="12" max="14" width="9.7265625" style="1" customWidth="1"/>
    <col min="15" max="15" width="7.7265625" style="1" customWidth="1"/>
    <col min="16" max="16" width="9.7265625" style="1" customWidth="1"/>
    <col min="17" max="17" width="10.7265625" style="1" customWidth="1"/>
    <col min="18" max="256" width="9.7265625" style="1"/>
    <col min="257" max="257" width="17.7265625" style="1" customWidth="1"/>
    <col min="258" max="258" width="8.54296875" style="1" customWidth="1"/>
    <col min="259" max="259" width="2.7265625" style="1" customWidth="1"/>
    <col min="260" max="263" width="8.7265625" style="1" customWidth="1"/>
    <col min="264" max="264" width="9.7265625" style="1"/>
    <col min="265" max="266" width="12.7265625" style="1" customWidth="1"/>
    <col min="267" max="267" width="6.7265625" style="1" customWidth="1"/>
    <col min="268" max="270" width="9.7265625" style="1"/>
    <col min="271" max="271" width="7.7265625" style="1" customWidth="1"/>
    <col min="272" max="272" width="9.7265625" style="1"/>
    <col min="273" max="273" width="10.7265625" style="1" customWidth="1"/>
    <col min="274" max="512" width="9.7265625" style="1"/>
    <col min="513" max="513" width="17.7265625" style="1" customWidth="1"/>
    <col min="514" max="514" width="8.54296875" style="1" customWidth="1"/>
    <col min="515" max="515" width="2.7265625" style="1" customWidth="1"/>
    <col min="516" max="519" width="8.7265625" style="1" customWidth="1"/>
    <col min="520" max="520" width="9.7265625" style="1"/>
    <col min="521" max="522" width="12.7265625" style="1" customWidth="1"/>
    <col min="523" max="523" width="6.7265625" style="1" customWidth="1"/>
    <col min="524" max="526" width="9.7265625" style="1"/>
    <col min="527" max="527" width="7.7265625" style="1" customWidth="1"/>
    <col min="528" max="528" width="9.7265625" style="1"/>
    <col min="529" max="529" width="10.7265625" style="1" customWidth="1"/>
    <col min="530" max="768" width="9.7265625" style="1"/>
    <col min="769" max="769" width="17.7265625" style="1" customWidth="1"/>
    <col min="770" max="770" width="8.54296875" style="1" customWidth="1"/>
    <col min="771" max="771" width="2.7265625" style="1" customWidth="1"/>
    <col min="772" max="775" width="8.7265625" style="1" customWidth="1"/>
    <col min="776" max="776" width="9.7265625" style="1"/>
    <col min="777" max="778" width="12.7265625" style="1" customWidth="1"/>
    <col min="779" max="779" width="6.7265625" style="1" customWidth="1"/>
    <col min="780" max="782" width="9.7265625" style="1"/>
    <col min="783" max="783" width="7.7265625" style="1" customWidth="1"/>
    <col min="784" max="784" width="9.7265625" style="1"/>
    <col min="785" max="785" width="10.7265625" style="1" customWidth="1"/>
    <col min="786" max="1024" width="9.7265625" style="1"/>
    <col min="1025" max="1025" width="17.7265625" style="1" customWidth="1"/>
    <col min="1026" max="1026" width="8.54296875" style="1" customWidth="1"/>
    <col min="1027" max="1027" width="2.7265625" style="1" customWidth="1"/>
    <col min="1028" max="1031" width="8.7265625" style="1" customWidth="1"/>
    <col min="1032" max="1032" width="9.7265625" style="1"/>
    <col min="1033" max="1034" width="12.7265625" style="1" customWidth="1"/>
    <col min="1035" max="1035" width="6.7265625" style="1" customWidth="1"/>
    <col min="1036" max="1038" width="9.7265625" style="1"/>
    <col min="1039" max="1039" width="7.7265625" style="1" customWidth="1"/>
    <col min="1040" max="1040" width="9.7265625" style="1"/>
    <col min="1041" max="1041" width="10.7265625" style="1" customWidth="1"/>
    <col min="1042" max="1280" width="9.7265625" style="1"/>
    <col min="1281" max="1281" width="17.7265625" style="1" customWidth="1"/>
    <col min="1282" max="1282" width="8.54296875" style="1" customWidth="1"/>
    <col min="1283" max="1283" width="2.7265625" style="1" customWidth="1"/>
    <col min="1284" max="1287" width="8.7265625" style="1" customWidth="1"/>
    <col min="1288" max="1288" width="9.7265625" style="1"/>
    <col min="1289" max="1290" width="12.7265625" style="1" customWidth="1"/>
    <col min="1291" max="1291" width="6.7265625" style="1" customWidth="1"/>
    <col min="1292" max="1294" width="9.7265625" style="1"/>
    <col min="1295" max="1295" width="7.7265625" style="1" customWidth="1"/>
    <col min="1296" max="1296" width="9.7265625" style="1"/>
    <col min="1297" max="1297" width="10.7265625" style="1" customWidth="1"/>
    <col min="1298" max="1536" width="9.7265625" style="1"/>
    <col min="1537" max="1537" width="17.7265625" style="1" customWidth="1"/>
    <col min="1538" max="1538" width="8.54296875" style="1" customWidth="1"/>
    <col min="1539" max="1539" width="2.7265625" style="1" customWidth="1"/>
    <col min="1540" max="1543" width="8.7265625" style="1" customWidth="1"/>
    <col min="1544" max="1544" width="9.7265625" style="1"/>
    <col min="1545" max="1546" width="12.7265625" style="1" customWidth="1"/>
    <col min="1547" max="1547" width="6.7265625" style="1" customWidth="1"/>
    <col min="1548" max="1550" width="9.7265625" style="1"/>
    <col min="1551" max="1551" width="7.7265625" style="1" customWidth="1"/>
    <col min="1552" max="1552" width="9.7265625" style="1"/>
    <col min="1553" max="1553" width="10.7265625" style="1" customWidth="1"/>
    <col min="1554" max="1792" width="9.7265625" style="1"/>
    <col min="1793" max="1793" width="17.7265625" style="1" customWidth="1"/>
    <col min="1794" max="1794" width="8.54296875" style="1" customWidth="1"/>
    <col min="1795" max="1795" width="2.7265625" style="1" customWidth="1"/>
    <col min="1796" max="1799" width="8.7265625" style="1" customWidth="1"/>
    <col min="1800" max="1800" width="9.7265625" style="1"/>
    <col min="1801" max="1802" width="12.7265625" style="1" customWidth="1"/>
    <col min="1803" max="1803" width="6.7265625" style="1" customWidth="1"/>
    <col min="1804" max="1806" width="9.7265625" style="1"/>
    <col min="1807" max="1807" width="7.7265625" style="1" customWidth="1"/>
    <col min="1808" max="1808" width="9.7265625" style="1"/>
    <col min="1809" max="1809" width="10.7265625" style="1" customWidth="1"/>
    <col min="1810" max="2048" width="9.7265625" style="1"/>
    <col min="2049" max="2049" width="17.7265625" style="1" customWidth="1"/>
    <col min="2050" max="2050" width="8.54296875" style="1" customWidth="1"/>
    <col min="2051" max="2051" width="2.7265625" style="1" customWidth="1"/>
    <col min="2052" max="2055" width="8.7265625" style="1" customWidth="1"/>
    <col min="2056" max="2056" width="9.7265625" style="1"/>
    <col min="2057" max="2058" width="12.7265625" style="1" customWidth="1"/>
    <col min="2059" max="2059" width="6.7265625" style="1" customWidth="1"/>
    <col min="2060" max="2062" width="9.7265625" style="1"/>
    <col min="2063" max="2063" width="7.7265625" style="1" customWidth="1"/>
    <col min="2064" max="2064" width="9.7265625" style="1"/>
    <col min="2065" max="2065" width="10.7265625" style="1" customWidth="1"/>
    <col min="2066" max="2304" width="9.7265625" style="1"/>
    <col min="2305" max="2305" width="17.7265625" style="1" customWidth="1"/>
    <col min="2306" max="2306" width="8.54296875" style="1" customWidth="1"/>
    <col min="2307" max="2307" width="2.7265625" style="1" customWidth="1"/>
    <col min="2308" max="2311" width="8.7265625" style="1" customWidth="1"/>
    <col min="2312" max="2312" width="9.7265625" style="1"/>
    <col min="2313" max="2314" width="12.7265625" style="1" customWidth="1"/>
    <col min="2315" max="2315" width="6.7265625" style="1" customWidth="1"/>
    <col min="2316" max="2318" width="9.7265625" style="1"/>
    <col min="2319" max="2319" width="7.7265625" style="1" customWidth="1"/>
    <col min="2320" max="2320" width="9.7265625" style="1"/>
    <col min="2321" max="2321" width="10.7265625" style="1" customWidth="1"/>
    <col min="2322" max="2560" width="9.7265625" style="1"/>
    <col min="2561" max="2561" width="17.7265625" style="1" customWidth="1"/>
    <col min="2562" max="2562" width="8.54296875" style="1" customWidth="1"/>
    <col min="2563" max="2563" width="2.7265625" style="1" customWidth="1"/>
    <col min="2564" max="2567" width="8.7265625" style="1" customWidth="1"/>
    <col min="2568" max="2568" width="9.7265625" style="1"/>
    <col min="2569" max="2570" width="12.7265625" style="1" customWidth="1"/>
    <col min="2571" max="2571" width="6.7265625" style="1" customWidth="1"/>
    <col min="2572" max="2574" width="9.7265625" style="1"/>
    <col min="2575" max="2575" width="7.7265625" style="1" customWidth="1"/>
    <col min="2576" max="2576" width="9.7265625" style="1"/>
    <col min="2577" max="2577" width="10.7265625" style="1" customWidth="1"/>
    <col min="2578" max="2816" width="9.7265625" style="1"/>
    <col min="2817" max="2817" width="17.7265625" style="1" customWidth="1"/>
    <col min="2818" max="2818" width="8.54296875" style="1" customWidth="1"/>
    <col min="2819" max="2819" width="2.7265625" style="1" customWidth="1"/>
    <col min="2820" max="2823" width="8.7265625" style="1" customWidth="1"/>
    <col min="2824" max="2824" width="9.7265625" style="1"/>
    <col min="2825" max="2826" width="12.7265625" style="1" customWidth="1"/>
    <col min="2827" max="2827" width="6.7265625" style="1" customWidth="1"/>
    <col min="2828" max="2830" width="9.7265625" style="1"/>
    <col min="2831" max="2831" width="7.7265625" style="1" customWidth="1"/>
    <col min="2832" max="2832" width="9.7265625" style="1"/>
    <col min="2833" max="2833" width="10.7265625" style="1" customWidth="1"/>
    <col min="2834" max="3072" width="9.7265625" style="1"/>
    <col min="3073" max="3073" width="17.7265625" style="1" customWidth="1"/>
    <col min="3074" max="3074" width="8.54296875" style="1" customWidth="1"/>
    <col min="3075" max="3075" width="2.7265625" style="1" customWidth="1"/>
    <col min="3076" max="3079" width="8.7265625" style="1" customWidth="1"/>
    <col min="3080" max="3080" width="9.7265625" style="1"/>
    <col min="3081" max="3082" width="12.7265625" style="1" customWidth="1"/>
    <col min="3083" max="3083" width="6.7265625" style="1" customWidth="1"/>
    <col min="3084" max="3086" width="9.7265625" style="1"/>
    <col min="3087" max="3087" width="7.7265625" style="1" customWidth="1"/>
    <col min="3088" max="3088" width="9.7265625" style="1"/>
    <col min="3089" max="3089" width="10.7265625" style="1" customWidth="1"/>
    <col min="3090" max="3328" width="9.7265625" style="1"/>
    <col min="3329" max="3329" width="17.7265625" style="1" customWidth="1"/>
    <col min="3330" max="3330" width="8.54296875" style="1" customWidth="1"/>
    <col min="3331" max="3331" width="2.7265625" style="1" customWidth="1"/>
    <col min="3332" max="3335" width="8.7265625" style="1" customWidth="1"/>
    <col min="3336" max="3336" width="9.7265625" style="1"/>
    <col min="3337" max="3338" width="12.7265625" style="1" customWidth="1"/>
    <col min="3339" max="3339" width="6.7265625" style="1" customWidth="1"/>
    <col min="3340" max="3342" width="9.7265625" style="1"/>
    <col min="3343" max="3343" width="7.7265625" style="1" customWidth="1"/>
    <col min="3344" max="3344" width="9.7265625" style="1"/>
    <col min="3345" max="3345" width="10.7265625" style="1" customWidth="1"/>
    <col min="3346" max="3584" width="9.7265625" style="1"/>
    <col min="3585" max="3585" width="17.7265625" style="1" customWidth="1"/>
    <col min="3586" max="3586" width="8.54296875" style="1" customWidth="1"/>
    <col min="3587" max="3587" width="2.7265625" style="1" customWidth="1"/>
    <col min="3588" max="3591" width="8.7265625" style="1" customWidth="1"/>
    <col min="3592" max="3592" width="9.7265625" style="1"/>
    <col min="3593" max="3594" width="12.7265625" style="1" customWidth="1"/>
    <col min="3595" max="3595" width="6.7265625" style="1" customWidth="1"/>
    <col min="3596" max="3598" width="9.7265625" style="1"/>
    <col min="3599" max="3599" width="7.7265625" style="1" customWidth="1"/>
    <col min="3600" max="3600" width="9.7265625" style="1"/>
    <col min="3601" max="3601" width="10.7265625" style="1" customWidth="1"/>
    <col min="3602" max="3840" width="9.7265625" style="1"/>
    <col min="3841" max="3841" width="17.7265625" style="1" customWidth="1"/>
    <col min="3842" max="3842" width="8.54296875" style="1" customWidth="1"/>
    <col min="3843" max="3843" width="2.7265625" style="1" customWidth="1"/>
    <col min="3844" max="3847" width="8.7265625" style="1" customWidth="1"/>
    <col min="3848" max="3848" width="9.7265625" style="1"/>
    <col min="3849" max="3850" width="12.7265625" style="1" customWidth="1"/>
    <col min="3851" max="3851" width="6.7265625" style="1" customWidth="1"/>
    <col min="3852" max="3854" width="9.7265625" style="1"/>
    <col min="3855" max="3855" width="7.7265625" style="1" customWidth="1"/>
    <col min="3856" max="3856" width="9.7265625" style="1"/>
    <col min="3857" max="3857" width="10.7265625" style="1" customWidth="1"/>
    <col min="3858" max="4096" width="9.7265625" style="1"/>
    <col min="4097" max="4097" width="17.7265625" style="1" customWidth="1"/>
    <col min="4098" max="4098" width="8.54296875" style="1" customWidth="1"/>
    <col min="4099" max="4099" width="2.7265625" style="1" customWidth="1"/>
    <col min="4100" max="4103" width="8.7265625" style="1" customWidth="1"/>
    <col min="4104" max="4104" width="9.7265625" style="1"/>
    <col min="4105" max="4106" width="12.7265625" style="1" customWidth="1"/>
    <col min="4107" max="4107" width="6.7265625" style="1" customWidth="1"/>
    <col min="4108" max="4110" width="9.7265625" style="1"/>
    <col min="4111" max="4111" width="7.7265625" style="1" customWidth="1"/>
    <col min="4112" max="4112" width="9.7265625" style="1"/>
    <col min="4113" max="4113" width="10.7265625" style="1" customWidth="1"/>
    <col min="4114" max="4352" width="9.7265625" style="1"/>
    <col min="4353" max="4353" width="17.7265625" style="1" customWidth="1"/>
    <col min="4354" max="4354" width="8.54296875" style="1" customWidth="1"/>
    <col min="4355" max="4355" width="2.7265625" style="1" customWidth="1"/>
    <col min="4356" max="4359" width="8.7265625" style="1" customWidth="1"/>
    <col min="4360" max="4360" width="9.7265625" style="1"/>
    <col min="4361" max="4362" width="12.7265625" style="1" customWidth="1"/>
    <col min="4363" max="4363" width="6.7265625" style="1" customWidth="1"/>
    <col min="4364" max="4366" width="9.7265625" style="1"/>
    <col min="4367" max="4367" width="7.7265625" style="1" customWidth="1"/>
    <col min="4368" max="4368" width="9.7265625" style="1"/>
    <col min="4369" max="4369" width="10.7265625" style="1" customWidth="1"/>
    <col min="4370" max="4608" width="9.7265625" style="1"/>
    <col min="4609" max="4609" width="17.7265625" style="1" customWidth="1"/>
    <col min="4610" max="4610" width="8.54296875" style="1" customWidth="1"/>
    <col min="4611" max="4611" width="2.7265625" style="1" customWidth="1"/>
    <col min="4612" max="4615" width="8.7265625" style="1" customWidth="1"/>
    <col min="4616" max="4616" width="9.7265625" style="1"/>
    <col min="4617" max="4618" width="12.7265625" style="1" customWidth="1"/>
    <col min="4619" max="4619" width="6.7265625" style="1" customWidth="1"/>
    <col min="4620" max="4622" width="9.7265625" style="1"/>
    <col min="4623" max="4623" width="7.7265625" style="1" customWidth="1"/>
    <col min="4624" max="4624" width="9.7265625" style="1"/>
    <col min="4625" max="4625" width="10.7265625" style="1" customWidth="1"/>
    <col min="4626" max="4864" width="9.7265625" style="1"/>
    <col min="4865" max="4865" width="17.7265625" style="1" customWidth="1"/>
    <col min="4866" max="4866" width="8.54296875" style="1" customWidth="1"/>
    <col min="4867" max="4867" width="2.7265625" style="1" customWidth="1"/>
    <col min="4868" max="4871" width="8.7265625" style="1" customWidth="1"/>
    <col min="4872" max="4872" width="9.7265625" style="1"/>
    <col min="4873" max="4874" width="12.7265625" style="1" customWidth="1"/>
    <col min="4875" max="4875" width="6.7265625" style="1" customWidth="1"/>
    <col min="4876" max="4878" width="9.7265625" style="1"/>
    <col min="4879" max="4879" width="7.7265625" style="1" customWidth="1"/>
    <col min="4880" max="4880" width="9.7265625" style="1"/>
    <col min="4881" max="4881" width="10.7265625" style="1" customWidth="1"/>
    <col min="4882" max="5120" width="9.7265625" style="1"/>
    <col min="5121" max="5121" width="17.7265625" style="1" customWidth="1"/>
    <col min="5122" max="5122" width="8.54296875" style="1" customWidth="1"/>
    <col min="5123" max="5123" width="2.7265625" style="1" customWidth="1"/>
    <col min="5124" max="5127" width="8.7265625" style="1" customWidth="1"/>
    <col min="5128" max="5128" width="9.7265625" style="1"/>
    <col min="5129" max="5130" width="12.7265625" style="1" customWidth="1"/>
    <col min="5131" max="5131" width="6.7265625" style="1" customWidth="1"/>
    <col min="5132" max="5134" width="9.7265625" style="1"/>
    <col min="5135" max="5135" width="7.7265625" style="1" customWidth="1"/>
    <col min="5136" max="5136" width="9.7265625" style="1"/>
    <col min="5137" max="5137" width="10.7265625" style="1" customWidth="1"/>
    <col min="5138" max="5376" width="9.7265625" style="1"/>
    <col min="5377" max="5377" width="17.7265625" style="1" customWidth="1"/>
    <col min="5378" max="5378" width="8.54296875" style="1" customWidth="1"/>
    <col min="5379" max="5379" width="2.7265625" style="1" customWidth="1"/>
    <col min="5380" max="5383" width="8.7265625" style="1" customWidth="1"/>
    <col min="5384" max="5384" width="9.7265625" style="1"/>
    <col min="5385" max="5386" width="12.7265625" style="1" customWidth="1"/>
    <col min="5387" max="5387" width="6.7265625" style="1" customWidth="1"/>
    <col min="5388" max="5390" width="9.7265625" style="1"/>
    <col min="5391" max="5391" width="7.7265625" style="1" customWidth="1"/>
    <col min="5392" max="5392" width="9.7265625" style="1"/>
    <col min="5393" max="5393" width="10.7265625" style="1" customWidth="1"/>
    <col min="5394" max="5632" width="9.7265625" style="1"/>
    <col min="5633" max="5633" width="17.7265625" style="1" customWidth="1"/>
    <col min="5634" max="5634" width="8.54296875" style="1" customWidth="1"/>
    <col min="5635" max="5635" width="2.7265625" style="1" customWidth="1"/>
    <col min="5636" max="5639" width="8.7265625" style="1" customWidth="1"/>
    <col min="5640" max="5640" width="9.7265625" style="1"/>
    <col min="5641" max="5642" width="12.7265625" style="1" customWidth="1"/>
    <col min="5643" max="5643" width="6.7265625" style="1" customWidth="1"/>
    <col min="5644" max="5646" width="9.7265625" style="1"/>
    <col min="5647" max="5647" width="7.7265625" style="1" customWidth="1"/>
    <col min="5648" max="5648" width="9.7265625" style="1"/>
    <col min="5649" max="5649" width="10.7265625" style="1" customWidth="1"/>
    <col min="5650" max="5888" width="9.7265625" style="1"/>
    <col min="5889" max="5889" width="17.7265625" style="1" customWidth="1"/>
    <col min="5890" max="5890" width="8.54296875" style="1" customWidth="1"/>
    <col min="5891" max="5891" width="2.7265625" style="1" customWidth="1"/>
    <col min="5892" max="5895" width="8.7265625" style="1" customWidth="1"/>
    <col min="5896" max="5896" width="9.7265625" style="1"/>
    <col min="5897" max="5898" width="12.7265625" style="1" customWidth="1"/>
    <col min="5899" max="5899" width="6.7265625" style="1" customWidth="1"/>
    <col min="5900" max="5902" width="9.7265625" style="1"/>
    <col min="5903" max="5903" width="7.7265625" style="1" customWidth="1"/>
    <col min="5904" max="5904" width="9.7265625" style="1"/>
    <col min="5905" max="5905" width="10.7265625" style="1" customWidth="1"/>
    <col min="5906" max="6144" width="9.7265625" style="1"/>
    <col min="6145" max="6145" width="17.7265625" style="1" customWidth="1"/>
    <col min="6146" max="6146" width="8.54296875" style="1" customWidth="1"/>
    <col min="6147" max="6147" width="2.7265625" style="1" customWidth="1"/>
    <col min="6148" max="6151" width="8.7265625" style="1" customWidth="1"/>
    <col min="6152" max="6152" width="9.7265625" style="1"/>
    <col min="6153" max="6154" width="12.7265625" style="1" customWidth="1"/>
    <col min="6155" max="6155" width="6.7265625" style="1" customWidth="1"/>
    <col min="6156" max="6158" width="9.7265625" style="1"/>
    <col min="6159" max="6159" width="7.7265625" style="1" customWidth="1"/>
    <col min="6160" max="6160" width="9.7265625" style="1"/>
    <col min="6161" max="6161" width="10.7265625" style="1" customWidth="1"/>
    <col min="6162" max="6400" width="9.7265625" style="1"/>
    <col min="6401" max="6401" width="17.7265625" style="1" customWidth="1"/>
    <col min="6402" max="6402" width="8.54296875" style="1" customWidth="1"/>
    <col min="6403" max="6403" width="2.7265625" style="1" customWidth="1"/>
    <col min="6404" max="6407" width="8.7265625" style="1" customWidth="1"/>
    <col min="6408" max="6408" width="9.7265625" style="1"/>
    <col min="6409" max="6410" width="12.7265625" style="1" customWidth="1"/>
    <col min="6411" max="6411" width="6.7265625" style="1" customWidth="1"/>
    <col min="6412" max="6414" width="9.7265625" style="1"/>
    <col min="6415" max="6415" width="7.7265625" style="1" customWidth="1"/>
    <col min="6416" max="6416" width="9.7265625" style="1"/>
    <col min="6417" max="6417" width="10.7265625" style="1" customWidth="1"/>
    <col min="6418" max="6656" width="9.7265625" style="1"/>
    <col min="6657" max="6657" width="17.7265625" style="1" customWidth="1"/>
    <col min="6658" max="6658" width="8.54296875" style="1" customWidth="1"/>
    <col min="6659" max="6659" width="2.7265625" style="1" customWidth="1"/>
    <col min="6660" max="6663" width="8.7265625" style="1" customWidth="1"/>
    <col min="6664" max="6664" width="9.7265625" style="1"/>
    <col min="6665" max="6666" width="12.7265625" style="1" customWidth="1"/>
    <col min="6667" max="6667" width="6.7265625" style="1" customWidth="1"/>
    <col min="6668" max="6670" width="9.7265625" style="1"/>
    <col min="6671" max="6671" width="7.7265625" style="1" customWidth="1"/>
    <col min="6672" max="6672" width="9.7265625" style="1"/>
    <col min="6673" max="6673" width="10.7265625" style="1" customWidth="1"/>
    <col min="6674" max="6912" width="9.7265625" style="1"/>
    <col min="6913" max="6913" width="17.7265625" style="1" customWidth="1"/>
    <col min="6914" max="6914" width="8.54296875" style="1" customWidth="1"/>
    <col min="6915" max="6915" width="2.7265625" style="1" customWidth="1"/>
    <col min="6916" max="6919" width="8.7265625" style="1" customWidth="1"/>
    <col min="6920" max="6920" width="9.7265625" style="1"/>
    <col min="6921" max="6922" width="12.7265625" style="1" customWidth="1"/>
    <col min="6923" max="6923" width="6.7265625" style="1" customWidth="1"/>
    <col min="6924" max="6926" width="9.7265625" style="1"/>
    <col min="6927" max="6927" width="7.7265625" style="1" customWidth="1"/>
    <col min="6928" max="6928" width="9.7265625" style="1"/>
    <col min="6929" max="6929" width="10.7265625" style="1" customWidth="1"/>
    <col min="6930" max="7168" width="9.7265625" style="1"/>
    <col min="7169" max="7169" width="17.7265625" style="1" customWidth="1"/>
    <col min="7170" max="7170" width="8.54296875" style="1" customWidth="1"/>
    <col min="7171" max="7171" width="2.7265625" style="1" customWidth="1"/>
    <col min="7172" max="7175" width="8.7265625" style="1" customWidth="1"/>
    <col min="7176" max="7176" width="9.7265625" style="1"/>
    <col min="7177" max="7178" width="12.7265625" style="1" customWidth="1"/>
    <col min="7179" max="7179" width="6.7265625" style="1" customWidth="1"/>
    <col min="7180" max="7182" width="9.7265625" style="1"/>
    <col min="7183" max="7183" width="7.7265625" style="1" customWidth="1"/>
    <col min="7184" max="7184" width="9.7265625" style="1"/>
    <col min="7185" max="7185" width="10.7265625" style="1" customWidth="1"/>
    <col min="7186" max="7424" width="9.7265625" style="1"/>
    <col min="7425" max="7425" width="17.7265625" style="1" customWidth="1"/>
    <col min="7426" max="7426" width="8.54296875" style="1" customWidth="1"/>
    <col min="7427" max="7427" width="2.7265625" style="1" customWidth="1"/>
    <col min="7428" max="7431" width="8.7265625" style="1" customWidth="1"/>
    <col min="7432" max="7432" width="9.7265625" style="1"/>
    <col min="7433" max="7434" width="12.7265625" style="1" customWidth="1"/>
    <col min="7435" max="7435" width="6.7265625" style="1" customWidth="1"/>
    <col min="7436" max="7438" width="9.7265625" style="1"/>
    <col min="7439" max="7439" width="7.7265625" style="1" customWidth="1"/>
    <col min="7440" max="7440" width="9.7265625" style="1"/>
    <col min="7441" max="7441" width="10.7265625" style="1" customWidth="1"/>
    <col min="7442" max="7680" width="9.7265625" style="1"/>
    <col min="7681" max="7681" width="17.7265625" style="1" customWidth="1"/>
    <col min="7682" max="7682" width="8.54296875" style="1" customWidth="1"/>
    <col min="7683" max="7683" width="2.7265625" style="1" customWidth="1"/>
    <col min="7684" max="7687" width="8.7265625" style="1" customWidth="1"/>
    <col min="7688" max="7688" width="9.7265625" style="1"/>
    <col min="7689" max="7690" width="12.7265625" style="1" customWidth="1"/>
    <col min="7691" max="7691" width="6.7265625" style="1" customWidth="1"/>
    <col min="7692" max="7694" width="9.7265625" style="1"/>
    <col min="7695" max="7695" width="7.7265625" style="1" customWidth="1"/>
    <col min="7696" max="7696" width="9.7265625" style="1"/>
    <col min="7697" max="7697" width="10.7265625" style="1" customWidth="1"/>
    <col min="7698" max="7936" width="9.7265625" style="1"/>
    <col min="7937" max="7937" width="17.7265625" style="1" customWidth="1"/>
    <col min="7938" max="7938" width="8.54296875" style="1" customWidth="1"/>
    <col min="7939" max="7939" width="2.7265625" style="1" customWidth="1"/>
    <col min="7940" max="7943" width="8.7265625" style="1" customWidth="1"/>
    <col min="7944" max="7944" width="9.7265625" style="1"/>
    <col min="7945" max="7946" width="12.7265625" style="1" customWidth="1"/>
    <col min="7947" max="7947" width="6.7265625" style="1" customWidth="1"/>
    <col min="7948" max="7950" width="9.7265625" style="1"/>
    <col min="7951" max="7951" width="7.7265625" style="1" customWidth="1"/>
    <col min="7952" max="7952" width="9.7265625" style="1"/>
    <col min="7953" max="7953" width="10.7265625" style="1" customWidth="1"/>
    <col min="7954" max="8192" width="9.7265625" style="1"/>
    <col min="8193" max="8193" width="17.7265625" style="1" customWidth="1"/>
    <col min="8194" max="8194" width="8.54296875" style="1" customWidth="1"/>
    <col min="8195" max="8195" width="2.7265625" style="1" customWidth="1"/>
    <col min="8196" max="8199" width="8.7265625" style="1" customWidth="1"/>
    <col min="8200" max="8200" width="9.7265625" style="1"/>
    <col min="8201" max="8202" width="12.7265625" style="1" customWidth="1"/>
    <col min="8203" max="8203" width="6.7265625" style="1" customWidth="1"/>
    <col min="8204" max="8206" width="9.7265625" style="1"/>
    <col min="8207" max="8207" width="7.7265625" style="1" customWidth="1"/>
    <col min="8208" max="8208" width="9.7265625" style="1"/>
    <col min="8209" max="8209" width="10.7265625" style="1" customWidth="1"/>
    <col min="8210" max="8448" width="9.7265625" style="1"/>
    <col min="8449" max="8449" width="17.7265625" style="1" customWidth="1"/>
    <col min="8450" max="8450" width="8.54296875" style="1" customWidth="1"/>
    <col min="8451" max="8451" width="2.7265625" style="1" customWidth="1"/>
    <col min="8452" max="8455" width="8.7265625" style="1" customWidth="1"/>
    <col min="8456" max="8456" width="9.7265625" style="1"/>
    <col min="8457" max="8458" width="12.7265625" style="1" customWidth="1"/>
    <col min="8459" max="8459" width="6.7265625" style="1" customWidth="1"/>
    <col min="8460" max="8462" width="9.7265625" style="1"/>
    <col min="8463" max="8463" width="7.7265625" style="1" customWidth="1"/>
    <col min="8464" max="8464" width="9.7265625" style="1"/>
    <col min="8465" max="8465" width="10.7265625" style="1" customWidth="1"/>
    <col min="8466" max="8704" width="9.7265625" style="1"/>
    <col min="8705" max="8705" width="17.7265625" style="1" customWidth="1"/>
    <col min="8706" max="8706" width="8.54296875" style="1" customWidth="1"/>
    <col min="8707" max="8707" width="2.7265625" style="1" customWidth="1"/>
    <col min="8708" max="8711" width="8.7265625" style="1" customWidth="1"/>
    <col min="8712" max="8712" width="9.7265625" style="1"/>
    <col min="8713" max="8714" width="12.7265625" style="1" customWidth="1"/>
    <col min="8715" max="8715" width="6.7265625" style="1" customWidth="1"/>
    <col min="8716" max="8718" width="9.7265625" style="1"/>
    <col min="8719" max="8719" width="7.7265625" style="1" customWidth="1"/>
    <col min="8720" max="8720" width="9.7265625" style="1"/>
    <col min="8721" max="8721" width="10.7265625" style="1" customWidth="1"/>
    <col min="8722" max="8960" width="9.7265625" style="1"/>
    <col min="8961" max="8961" width="17.7265625" style="1" customWidth="1"/>
    <col min="8962" max="8962" width="8.54296875" style="1" customWidth="1"/>
    <col min="8963" max="8963" width="2.7265625" style="1" customWidth="1"/>
    <col min="8964" max="8967" width="8.7265625" style="1" customWidth="1"/>
    <col min="8968" max="8968" width="9.7265625" style="1"/>
    <col min="8969" max="8970" width="12.7265625" style="1" customWidth="1"/>
    <col min="8971" max="8971" width="6.7265625" style="1" customWidth="1"/>
    <col min="8972" max="8974" width="9.7265625" style="1"/>
    <col min="8975" max="8975" width="7.7265625" style="1" customWidth="1"/>
    <col min="8976" max="8976" width="9.7265625" style="1"/>
    <col min="8977" max="8977" width="10.7265625" style="1" customWidth="1"/>
    <col min="8978" max="9216" width="9.7265625" style="1"/>
    <col min="9217" max="9217" width="17.7265625" style="1" customWidth="1"/>
    <col min="9218" max="9218" width="8.54296875" style="1" customWidth="1"/>
    <col min="9219" max="9219" width="2.7265625" style="1" customWidth="1"/>
    <col min="9220" max="9223" width="8.7265625" style="1" customWidth="1"/>
    <col min="9224" max="9224" width="9.7265625" style="1"/>
    <col min="9225" max="9226" width="12.7265625" style="1" customWidth="1"/>
    <col min="9227" max="9227" width="6.7265625" style="1" customWidth="1"/>
    <col min="9228" max="9230" width="9.7265625" style="1"/>
    <col min="9231" max="9231" width="7.7265625" style="1" customWidth="1"/>
    <col min="9232" max="9232" width="9.7265625" style="1"/>
    <col min="9233" max="9233" width="10.7265625" style="1" customWidth="1"/>
    <col min="9234" max="9472" width="9.7265625" style="1"/>
    <col min="9473" max="9473" width="17.7265625" style="1" customWidth="1"/>
    <col min="9474" max="9474" width="8.54296875" style="1" customWidth="1"/>
    <col min="9475" max="9475" width="2.7265625" style="1" customWidth="1"/>
    <col min="9476" max="9479" width="8.7265625" style="1" customWidth="1"/>
    <col min="9480" max="9480" width="9.7265625" style="1"/>
    <col min="9481" max="9482" width="12.7265625" style="1" customWidth="1"/>
    <col min="9483" max="9483" width="6.7265625" style="1" customWidth="1"/>
    <col min="9484" max="9486" width="9.7265625" style="1"/>
    <col min="9487" max="9487" width="7.7265625" style="1" customWidth="1"/>
    <col min="9488" max="9488" width="9.7265625" style="1"/>
    <col min="9489" max="9489" width="10.7265625" style="1" customWidth="1"/>
    <col min="9490" max="9728" width="9.7265625" style="1"/>
    <col min="9729" max="9729" width="17.7265625" style="1" customWidth="1"/>
    <col min="9730" max="9730" width="8.54296875" style="1" customWidth="1"/>
    <col min="9731" max="9731" width="2.7265625" style="1" customWidth="1"/>
    <col min="9732" max="9735" width="8.7265625" style="1" customWidth="1"/>
    <col min="9736" max="9736" width="9.7265625" style="1"/>
    <col min="9737" max="9738" width="12.7265625" style="1" customWidth="1"/>
    <col min="9739" max="9739" width="6.7265625" style="1" customWidth="1"/>
    <col min="9740" max="9742" width="9.7265625" style="1"/>
    <col min="9743" max="9743" width="7.7265625" style="1" customWidth="1"/>
    <col min="9744" max="9744" width="9.7265625" style="1"/>
    <col min="9745" max="9745" width="10.7265625" style="1" customWidth="1"/>
    <col min="9746" max="9984" width="9.7265625" style="1"/>
    <col min="9985" max="9985" width="17.7265625" style="1" customWidth="1"/>
    <col min="9986" max="9986" width="8.54296875" style="1" customWidth="1"/>
    <col min="9987" max="9987" width="2.7265625" style="1" customWidth="1"/>
    <col min="9988" max="9991" width="8.7265625" style="1" customWidth="1"/>
    <col min="9992" max="9992" width="9.7265625" style="1"/>
    <col min="9993" max="9994" width="12.7265625" style="1" customWidth="1"/>
    <col min="9995" max="9995" width="6.7265625" style="1" customWidth="1"/>
    <col min="9996" max="9998" width="9.7265625" style="1"/>
    <col min="9999" max="9999" width="7.7265625" style="1" customWidth="1"/>
    <col min="10000" max="10000" width="9.7265625" style="1"/>
    <col min="10001" max="10001" width="10.7265625" style="1" customWidth="1"/>
    <col min="10002" max="10240" width="9.7265625" style="1"/>
    <col min="10241" max="10241" width="17.7265625" style="1" customWidth="1"/>
    <col min="10242" max="10242" width="8.54296875" style="1" customWidth="1"/>
    <col min="10243" max="10243" width="2.7265625" style="1" customWidth="1"/>
    <col min="10244" max="10247" width="8.7265625" style="1" customWidth="1"/>
    <col min="10248" max="10248" width="9.7265625" style="1"/>
    <col min="10249" max="10250" width="12.7265625" style="1" customWidth="1"/>
    <col min="10251" max="10251" width="6.7265625" style="1" customWidth="1"/>
    <col min="10252" max="10254" width="9.7265625" style="1"/>
    <col min="10255" max="10255" width="7.7265625" style="1" customWidth="1"/>
    <col min="10256" max="10256" width="9.7265625" style="1"/>
    <col min="10257" max="10257" width="10.7265625" style="1" customWidth="1"/>
    <col min="10258" max="10496" width="9.7265625" style="1"/>
    <col min="10497" max="10497" width="17.7265625" style="1" customWidth="1"/>
    <col min="10498" max="10498" width="8.54296875" style="1" customWidth="1"/>
    <col min="10499" max="10499" width="2.7265625" style="1" customWidth="1"/>
    <col min="10500" max="10503" width="8.7265625" style="1" customWidth="1"/>
    <col min="10504" max="10504" width="9.7265625" style="1"/>
    <col min="10505" max="10506" width="12.7265625" style="1" customWidth="1"/>
    <col min="10507" max="10507" width="6.7265625" style="1" customWidth="1"/>
    <col min="10508" max="10510" width="9.7265625" style="1"/>
    <col min="10511" max="10511" width="7.7265625" style="1" customWidth="1"/>
    <col min="10512" max="10512" width="9.7265625" style="1"/>
    <col min="10513" max="10513" width="10.7265625" style="1" customWidth="1"/>
    <col min="10514" max="10752" width="9.7265625" style="1"/>
    <col min="10753" max="10753" width="17.7265625" style="1" customWidth="1"/>
    <col min="10754" max="10754" width="8.54296875" style="1" customWidth="1"/>
    <col min="10755" max="10755" width="2.7265625" style="1" customWidth="1"/>
    <col min="10756" max="10759" width="8.7265625" style="1" customWidth="1"/>
    <col min="10760" max="10760" width="9.7265625" style="1"/>
    <col min="10761" max="10762" width="12.7265625" style="1" customWidth="1"/>
    <col min="10763" max="10763" width="6.7265625" style="1" customWidth="1"/>
    <col min="10764" max="10766" width="9.7265625" style="1"/>
    <col min="10767" max="10767" width="7.7265625" style="1" customWidth="1"/>
    <col min="10768" max="10768" width="9.7265625" style="1"/>
    <col min="10769" max="10769" width="10.7265625" style="1" customWidth="1"/>
    <col min="10770" max="11008" width="9.7265625" style="1"/>
    <col min="11009" max="11009" width="17.7265625" style="1" customWidth="1"/>
    <col min="11010" max="11010" width="8.54296875" style="1" customWidth="1"/>
    <col min="11011" max="11011" width="2.7265625" style="1" customWidth="1"/>
    <col min="11012" max="11015" width="8.7265625" style="1" customWidth="1"/>
    <col min="11016" max="11016" width="9.7265625" style="1"/>
    <col min="11017" max="11018" width="12.7265625" style="1" customWidth="1"/>
    <col min="11019" max="11019" width="6.7265625" style="1" customWidth="1"/>
    <col min="11020" max="11022" width="9.7265625" style="1"/>
    <col min="11023" max="11023" width="7.7265625" style="1" customWidth="1"/>
    <col min="11024" max="11024" width="9.7265625" style="1"/>
    <col min="11025" max="11025" width="10.7265625" style="1" customWidth="1"/>
    <col min="11026" max="11264" width="9.7265625" style="1"/>
    <col min="11265" max="11265" width="17.7265625" style="1" customWidth="1"/>
    <col min="11266" max="11266" width="8.54296875" style="1" customWidth="1"/>
    <col min="11267" max="11267" width="2.7265625" style="1" customWidth="1"/>
    <col min="11268" max="11271" width="8.7265625" style="1" customWidth="1"/>
    <col min="11272" max="11272" width="9.7265625" style="1"/>
    <col min="11273" max="11274" width="12.7265625" style="1" customWidth="1"/>
    <col min="11275" max="11275" width="6.7265625" style="1" customWidth="1"/>
    <col min="11276" max="11278" width="9.7265625" style="1"/>
    <col min="11279" max="11279" width="7.7265625" style="1" customWidth="1"/>
    <col min="11280" max="11280" width="9.7265625" style="1"/>
    <col min="11281" max="11281" width="10.7265625" style="1" customWidth="1"/>
    <col min="11282" max="11520" width="9.7265625" style="1"/>
    <col min="11521" max="11521" width="17.7265625" style="1" customWidth="1"/>
    <col min="11522" max="11522" width="8.54296875" style="1" customWidth="1"/>
    <col min="11523" max="11523" width="2.7265625" style="1" customWidth="1"/>
    <col min="11524" max="11527" width="8.7265625" style="1" customWidth="1"/>
    <col min="11528" max="11528" width="9.7265625" style="1"/>
    <col min="11529" max="11530" width="12.7265625" style="1" customWidth="1"/>
    <col min="11531" max="11531" width="6.7265625" style="1" customWidth="1"/>
    <col min="11532" max="11534" width="9.7265625" style="1"/>
    <col min="11535" max="11535" width="7.7265625" style="1" customWidth="1"/>
    <col min="11536" max="11536" width="9.7265625" style="1"/>
    <col min="11537" max="11537" width="10.7265625" style="1" customWidth="1"/>
    <col min="11538" max="11776" width="9.7265625" style="1"/>
    <col min="11777" max="11777" width="17.7265625" style="1" customWidth="1"/>
    <col min="11778" max="11778" width="8.54296875" style="1" customWidth="1"/>
    <col min="11779" max="11779" width="2.7265625" style="1" customWidth="1"/>
    <col min="11780" max="11783" width="8.7265625" style="1" customWidth="1"/>
    <col min="11784" max="11784" width="9.7265625" style="1"/>
    <col min="11785" max="11786" width="12.7265625" style="1" customWidth="1"/>
    <col min="11787" max="11787" width="6.7265625" style="1" customWidth="1"/>
    <col min="11788" max="11790" width="9.7265625" style="1"/>
    <col min="11791" max="11791" width="7.7265625" style="1" customWidth="1"/>
    <col min="11792" max="11792" width="9.7265625" style="1"/>
    <col min="11793" max="11793" width="10.7265625" style="1" customWidth="1"/>
    <col min="11794" max="12032" width="9.7265625" style="1"/>
    <col min="12033" max="12033" width="17.7265625" style="1" customWidth="1"/>
    <col min="12034" max="12034" width="8.54296875" style="1" customWidth="1"/>
    <col min="12035" max="12035" width="2.7265625" style="1" customWidth="1"/>
    <col min="12036" max="12039" width="8.7265625" style="1" customWidth="1"/>
    <col min="12040" max="12040" width="9.7265625" style="1"/>
    <col min="12041" max="12042" width="12.7265625" style="1" customWidth="1"/>
    <col min="12043" max="12043" width="6.7265625" style="1" customWidth="1"/>
    <col min="12044" max="12046" width="9.7265625" style="1"/>
    <col min="12047" max="12047" width="7.7265625" style="1" customWidth="1"/>
    <col min="12048" max="12048" width="9.7265625" style="1"/>
    <col min="12049" max="12049" width="10.7265625" style="1" customWidth="1"/>
    <col min="12050" max="12288" width="9.7265625" style="1"/>
    <col min="12289" max="12289" width="17.7265625" style="1" customWidth="1"/>
    <col min="12290" max="12290" width="8.54296875" style="1" customWidth="1"/>
    <col min="12291" max="12291" width="2.7265625" style="1" customWidth="1"/>
    <col min="12292" max="12295" width="8.7265625" style="1" customWidth="1"/>
    <col min="12296" max="12296" width="9.7265625" style="1"/>
    <col min="12297" max="12298" width="12.7265625" style="1" customWidth="1"/>
    <col min="12299" max="12299" width="6.7265625" style="1" customWidth="1"/>
    <col min="12300" max="12302" width="9.7265625" style="1"/>
    <col min="12303" max="12303" width="7.7265625" style="1" customWidth="1"/>
    <col min="12304" max="12304" width="9.7265625" style="1"/>
    <col min="12305" max="12305" width="10.7265625" style="1" customWidth="1"/>
    <col min="12306" max="12544" width="9.7265625" style="1"/>
    <col min="12545" max="12545" width="17.7265625" style="1" customWidth="1"/>
    <col min="12546" max="12546" width="8.54296875" style="1" customWidth="1"/>
    <col min="12547" max="12547" width="2.7265625" style="1" customWidth="1"/>
    <col min="12548" max="12551" width="8.7265625" style="1" customWidth="1"/>
    <col min="12552" max="12552" width="9.7265625" style="1"/>
    <col min="12553" max="12554" width="12.7265625" style="1" customWidth="1"/>
    <col min="12555" max="12555" width="6.7265625" style="1" customWidth="1"/>
    <col min="12556" max="12558" width="9.7265625" style="1"/>
    <col min="12559" max="12559" width="7.7265625" style="1" customWidth="1"/>
    <col min="12560" max="12560" width="9.7265625" style="1"/>
    <col min="12561" max="12561" width="10.7265625" style="1" customWidth="1"/>
    <col min="12562" max="12800" width="9.7265625" style="1"/>
    <col min="12801" max="12801" width="17.7265625" style="1" customWidth="1"/>
    <col min="12802" max="12802" width="8.54296875" style="1" customWidth="1"/>
    <col min="12803" max="12803" width="2.7265625" style="1" customWidth="1"/>
    <col min="12804" max="12807" width="8.7265625" style="1" customWidth="1"/>
    <col min="12808" max="12808" width="9.7265625" style="1"/>
    <col min="12809" max="12810" width="12.7265625" style="1" customWidth="1"/>
    <col min="12811" max="12811" width="6.7265625" style="1" customWidth="1"/>
    <col min="12812" max="12814" width="9.7265625" style="1"/>
    <col min="12815" max="12815" width="7.7265625" style="1" customWidth="1"/>
    <col min="12816" max="12816" width="9.7265625" style="1"/>
    <col min="12817" max="12817" width="10.7265625" style="1" customWidth="1"/>
    <col min="12818" max="13056" width="9.7265625" style="1"/>
    <col min="13057" max="13057" width="17.7265625" style="1" customWidth="1"/>
    <col min="13058" max="13058" width="8.54296875" style="1" customWidth="1"/>
    <col min="13059" max="13059" width="2.7265625" style="1" customWidth="1"/>
    <col min="13060" max="13063" width="8.7265625" style="1" customWidth="1"/>
    <col min="13064" max="13064" width="9.7265625" style="1"/>
    <col min="13065" max="13066" width="12.7265625" style="1" customWidth="1"/>
    <col min="13067" max="13067" width="6.7265625" style="1" customWidth="1"/>
    <col min="13068" max="13070" width="9.7265625" style="1"/>
    <col min="13071" max="13071" width="7.7265625" style="1" customWidth="1"/>
    <col min="13072" max="13072" width="9.7265625" style="1"/>
    <col min="13073" max="13073" width="10.7265625" style="1" customWidth="1"/>
    <col min="13074" max="13312" width="9.7265625" style="1"/>
    <col min="13313" max="13313" width="17.7265625" style="1" customWidth="1"/>
    <col min="13314" max="13314" width="8.54296875" style="1" customWidth="1"/>
    <col min="13315" max="13315" width="2.7265625" style="1" customWidth="1"/>
    <col min="13316" max="13319" width="8.7265625" style="1" customWidth="1"/>
    <col min="13320" max="13320" width="9.7265625" style="1"/>
    <col min="13321" max="13322" width="12.7265625" style="1" customWidth="1"/>
    <col min="13323" max="13323" width="6.7265625" style="1" customWidth="1"/>
    <col min="13324" max="13326" width="9.7265625" style="1"/>
    <col min="13327" max="13327" width="7.7265625" style="1" customWidth="1"/>
    <col min="13328" max="13328" width="9.7265625" style="1"/>
    <col min="13329" max="13329" width="10.7265625" style="1" customWidth="1"/>
    <col min="13330" max="13568" width="9.7265625" style="1"/>
    <col min="13569" max="13569" width="17.7265625" style="1" customWidth="1"/>
    <col min="13570" max="13570" width="8.54296875" style="1" customWidth="1"/>
    <col min="13571" max="13571" width="2.7265625" style="1" customWidth="1"/>
    <col min="13572" max="13575" width="8.7265625" style="1" customWidth="1"/>
    <col min="13576" max="13576" width="9.7265625" style="1"/>
    <col min="13577" max="13578" width="12.7265625" style="1" customWidth="1"/>
    <col min="13579" max="13579" width="6.7265625" style="1" customWidth="1"/>
    <col min="13580" max="13582" width="9.7265625" style="1"/>
    <col min="13583" max="13583" width="7.7265625" style="1" customWidth="1"/>
    <col min="13584" max="13584" width="9.7265625" style="1"/>
    <col min="13585" max="13585" width="10.7265625" style="1" customWidth="1"/>
    <col min="13586" max="13824" width="9.7265625" style="1"/>
    <col min="13825" max="13825" width="17.7265625" style="1" customWidth="1"/>
    <col min="13826" max="13826" width="8.54296875" style="1" customWidth="1"/>
    <col min="13827" max="13827" width="2.7265625" style="1" customWidth="1"/>
    <col min="13828" max="13831" width="8.7265625" style="1" customWidth="1"/>
    <col min="13832" max="13832" width="9.7265625" style="1"/>
    <col min="13833" max="13834" width="12.7265625" style="1" customWidth="1"/>
    <col min="13835" max="13835" width="6.7265625" style="1" customWidth="1"/>
    <col min="13836" max="13838" width="9.7265625" style="1"/>
    <col min="13839" max="13839" width="7.7265625" style="1" customWidth="1"/>
    <col min="13840" max="13840" width="9.7265625" style="1"/>
    <col min="13841" max="13841" width="10.7265625" style="1" customWidth="1"/>
    <col min="13842" max="14080" width="9.7265625" style="1"/>
    <col min="14081" max="14081" width="17.7265625" style="1" customWidth="1"/>
    <col min="14082" max="14082" width="8.54296875" style="1" customWidth="1"/>
    <col min="14083" max="14083" width="2.7265625" style="1" customWidth="1"/>
    <col min="14084" max="14087" width="8.7265625" style="1" customWidth="1"/>
    <col min="14088" max="14088" width="9.7265625" style="1"/>
    <col min="14089" max="14090" width="12.7265625" style="1" customWidth="1"/>
    <col min="14091" max="14091" width="6.7265625" style="1" customWidth="1"/>
    <col min="14092" max="14094" width="9.7265625" style="1"/>
    <col min="14095" max="14095" width="7.7265625" style="1" customWidth="1"/>
    <col min="14096" max="14096" width="9.7265625" style="1"/>
    <col min="14097" max="14097" width="10.7265625" style="1" customWidth="1"/>
    <col min="14098" max="14336" width="9.7265625" style="1"/>
    <col min="14337" max="14337" width="17.7265625" style="1" customWidth="1"/>
    <col min="14338" max="14338" width="8.54296875" style="1" customWidth="1"/>
    <col min="14339" max="14339" width="2.7265625" style="1" customWidth="1"/>
    <col min="14340" max="14343" width="8.7265625" style="1" customWidth="1"/>
    <col min="14344" max="14344" width="9.7265625" style="1"/>
    <col min="14345" max="14346" width="12.7265625" style="1" customWidth="1"/>
    <col min="14347" max="14347" width="6.7265625" style="1" customWidth="1"/>
    <col min="14348" max="14350" width="9.7265625" style="1"/>
    <col min="14351" max="14351" width="7.7265625" style="1" customWidth="1"/>
    <col min="14352" max="14352" width="9.7265625" style="1"/>
    <col min="14353" max="14353" width="10.7265625" style="1" customWidth="1"/>
    <col min="14354" max="14592" width="9.7265625" style="1"/>
    <col min="14593" max="14593" width="17.7265625" style="1" customWidth="1"/>
    <col min="14594" max="14594" width="8.54296875" style="1" customWidth="1"/>
    <col min="14595" max="14595" width="2.7265625" style="1" customWidth="1"/>
    <col min="14596" max="14599" width="8.7265625" style="1" customWidth="1"/>
    <col min="14600" max="14600" width="9.7265625" style="1"/>
    <col min="14601" max="14602" width="12.7265625" style="1" customWidth="1"/>
    <col min="14603" max="14603" width="6.7265625" style="1" customWidth="1"/>
    <col min="14604" max="14606" width="9.7265625" style="1"/>
    <col min="14607" max="14607" width="7.7265625" style="1" customWidth="1"/>
    <col min="14608" max="14608" width="9.7265625" style="1"/>
    <col min="14609" max="14609" width="10.7265625" style="1" customWidth="1"/>
    <col min="14610" max="14848" width="9.7265625" style="1"/>
    <col min="14849" max="14849" width="17.7265625" style="1" customWidth="1"/>
    <col min="14850" max="14850" width="8.54296875" style="1" customWidth="1"/>
    <col min="14851" max="14851" width="2.7265625" style="1" customWidth="1"/>
    <col min="14852" max="14855" width="8.7265625" style="1" customWidth="1"/>
    <col min="14856" max="14856" width="9.7265625" style="1"/>
    <col min="14857" max="14858" width="12.7265625" style="1" customWidth="1"/>
    <col min="14859" max="14859" width="6.7265625" style="1" customWidth="1"/>
    <col min="14860" max="14862" width="9.7265625" style="1"/>
    <col min="14863" max="14863" width="7.7265625" style="1" customWidth="1"/>
    <col min="14864" max="14864" width="9.7265625" style="1"/>
    <col min="14865" max="14865" width="10.7265625" style="1" customWidth="1"/>
    <col min="14866" max="15104" width="9.7265625" style="1"/>
    <col min="15105" max="15105" width="17.7265625" style="1" customWidth="1"/>
    <col min="15106" max="15106" width="8.54296875" style="1" customWidth="1"/>
    <col min="15107" max="15107" width="2.7265625" style="1" customWidth="1"/>
    <col min="15108" max="15111" width="8.7265625" style="1" customWidth="1"/>
    <col min="15112" max="15112" width="9.7265625" style="1"/>
    <col min="15113" max="15114" width="12.7265625" style="1" customWidth="1"/>
    <col min="15115" max="15115" width="6.7265625" style="1" customWidth="1"/>
    <col min="15116" max="15118" width="9.7265625" style="1"/>
    <col min="15119" max="15119" width="7.7265625" style="1" customWidth="1"/>
    <col min="15120" max="15120" width="9.7265625" style="1"/>
    <col min="15121" max="15121" width="10.7265625" style="1" customWidth="1"/>
    <col min="15122" max="15360" width="9.7265625" style="1"/>
    <col min="15361" max="15361" width="17.7265625" style="1" customWidth="1"/>
    <col min="15362" max="15362" width="8.54296875" style="1" customWidth="1"/>
    <col min="15363" max="15363" width="2.7265625" style="1" customWidth="1"/>
    <col min="15364" max="15367" width="8.7265625" style="1" customWidth="1"/>
    <col min="15368" max="15368" width="9.7265625" style="1"/>
    <col min="15369" max="15370" width="12.7265625" style="1" customWidth="1"/>
    <col min="15371" max="15371" width="6.7265625" style="1" customWidth="1"/>
    <col min="15372" max="15374" width="9.7265625" style="1"/>
    <col min="15375" max="15375" width="7.7265625" style="1" customWidth="1"/>
    <col min="15376" max="15376" width="9.7265625" style="1"/>
    <col min="15377" max="15377" width="10.7265625" style="1" customWidth="1"/>
    <col min="15378" max="15616" width="9.7265625" style="1"/>
    <col min="15617" max="15617" width="17.7265625" style="1" customWidth="1"/>
    <col min="15618" max="15618" width="8.54296875" style="1" customWidth="1"/>
    <col min="15619" max="15619" width="2.7265625" style="1" customWidth="1"/>
    <col min="15620" max="15623" width="8.7265625" style="1" customWidth="1"/>
    <col min="15624" max="15624" width="9.7265625" style="1"/>
    <col min="15625" max="15626" width="12.7265625" style="1" customWidth="1"/>
    <col min="15627" max="15627" width="6.7265625" style="1" customWidth="1"/>
    <col min="15628" max="15630" width="9.7265625" style="1"/>
    <col min="15631" max="15631" width="7.7265625" style="1" customWidth="1"/>
    <col min="15632" max="15632" width="9.7265625" style="1"/>
    <col min="15633" max="15633" width="10.7265625" style="1" customWidth="1"/>
    <col min="15634" max="15872" width="9.7265625" style="1"/>
    <col min="15873" max="15873" width="17.7265625" style="1" customWidth="1"/>
    <col min="15874" max="15874" width="8.54296875" style="1" customWidth="1"/>
    <col min="15875" max="15875" width="2.7265625" style="1" customWidth="1"/>
    <col min="15876" max="15879" width="8.7265625" style="1" customWidth="1"/>
    <col min="15880" max="15880" width="9.7265625" style="1"/>
    <col min="15881" max="15882" width="12.7265625" style="1" customWidth="1"/>
    <col min="15883" max="15883" width="6.7265625" style="1" customWidth="1"/>
    <col min="15884" max="15886" width="9.7265625" style="1"/>
    <col min="15887" max="15887" width="7.7265625" style="1" customWidth="1"/>
    <col min="15888" max="15888" width="9.7265625" style="1"/>
    <col min="15889" max="15889" width="10.7265625" style="1" customWidth="1"/>
    <col min="15890" max="16128" width="9.7265625" style="1"/>
    <col min="16129" max="16129" width="17.7265625" style="1" customWidth="1"/>
    <col min="16130" max="16130" width="8.54296875" style="1" customWidth="1"/>
    <col min="16131" max="16131" width="2.7265625" style="1" customWidth="1"/>
    <col min="16132" max="16135" width="8.7265625" style="1" customWidth="1"/>
    <col min="16136" max="16136" width="9.7265625" style="1"/>
    <col min="16137" max="16138" width="12.7265625" style="1" customWidth="1"/>
    <col min="16139" max="16139" width="6.7265625" style="1" customWidth="1"/>
    <col min="16140" max="16142" width="9.7265625" style="1"/>
    <col min="16143" max="16143" width="7.7265625" style="1" customWidth="1"/>
    <col min="16144" max="16144" width="9.7265625" style="1"/>
    <col min="16145" max="16145" width="10.7265625" style="1" customWidth="1"/>
    <col min="16146" max="16384" width="9.7265625" style="1"/>
  </cols>
  <sheetData>
    <row r="1" spans="1:26" ht="75.75" customHeight="1" x14ac:dyDescent="0.25">
      <c r="K1" s="3"/>
    </row>
    <row r="2" spans="1:26" ht="19.5" customHeight="1" x14ac:dyDescent="0.35">
      <c r="A2" s="4" t="s">
        <v>160</v>
      </c>
      <c r="B2" s="5"/>
      <c r="C2" s="5"/>
      <c r="D2" s="5"/>
      <c r="E2" s="5"/>
      <c r="F2" s="6"/>
      <c r="G2" s="5"/>
      <c r="H2" s="7"/>
      <c r="I2" s="7"/>
      <c r="J2" s="7" t="s">
        <v>0</v>
      </c>
      <c r="K2" s="3"/>
      <c r="U2" s="8" t="s">
        <v>1</v>
      </c>
    </row>
    <row r="3" spans="1:26" ht="27" customHeight="1" x14ac:dyDescent="0.4">
      <c r="A3" s="9" t="s">
        <v>159</v>
      </c>
      <c r="B3" s="10"/>
      <c r="C3" s="10"/>
      <c r="D3" s="10"/>
      <c r="E3" s="10"/>
      <c r="F3" s="10"/>
      <c r="G3" s="10"/>
      <c r="H3" s="10"/>
      <c r="I3" s="10"/>
      <c r="J3" s="10"/>
      <c r="K3" s="3"/>
      <c r="U3" s="8"/>
    </row>
    <row r="4" spans="1:26" ht="31.95" customHeight="1" x14ac:dyDescent="0.3">
      <c r="A4" s="182" t="s">
        <v>161</v>
      </c>
      <c r="B4" s="11"/>
      <c r="C4" s="11"/>
      <c r="E4" s="12">
        <v>100</v>
      </c>
      <c r="F4" s="13" t="s">
        <v>2</v>
      </c>
      <c r="G4" s="2"/>
      <c r="H4" s="185" t="s">
        <v>167</v>
      </c>
      <c r="I4" s="185"/>
      <c r="J4" s="185"/>
      <c r="K4" s="3"/>
      <c r="U4" s="8"/>
    </row>
    <row r="5" spans="1:26" ht="19.5" customHeight="1" x14ac:dyDescent="0.3">
      <c r="A5" s="14">
        <v>1.75</v>
      </c>
      <c r="B5" s="15" t="s">
        <v>3</v>
      </c>
      <c r="E5" s="12">
        <v>4</v>
      </c>
      <c r="F5" s="16" t="s">
        <v>4</v>
      </c>
      <c r="G5" s="14">
        <v>1</v>
      </c>
      <c r="H5" s="15" t="s">
        <v>5</v>
      </c>
      <c r="I5" s="17"/>
      <c r="J5" s="17"/>
      <c r="K5" s="3"/>
      <c r="M5" s="8"/>
      <c r="U5" s="8"/>
    </row>
    <row r="6" spans="1:26" ht="19.5" customHeight="1" x14ac:dyDescent="0.25">
      <c r="A6" s="14">
        <v>0.1</v>
      </c>
      <c r="B6" s="15" t="s">
        <v>6</v>
      </c>
      <c r="C6" s="2"/>
      <c r="D6" s="18"/>
      <c r="E6" s="14">
        <v>0.15</v>
      </c>
      <c r="F6" s="19" t="s">
        <v>7</v>
      </c>
      <c r="G6" s="184">
        <v>50</v>
      </c>
      <c r="H6" s="15" t="s">
        <v>8</v>
      </c>
      <c r="I6" s="17"/>
      <c r="J6" s="17"/>
      <c r="K6" s="3"/>
      <c r="M6" s="8"/>
      <c r="U6" s="8"/>
    </row>
    <row r="7" spans="1:26" ht="19.5" customHeight="1" x14ac:dyDescent="0.3">
      <c r="A7" s="20">
        <f>A5*(1-A6)</f>
        <v>1.575</v>
      </c>
      <c r="B7" s="21" t="s">
        <v>9</v>
      </c>
      <c r="C7" s="22"/>
      <c r="D7" s="22"/>
      <c r="E7" s="23">
        <v>0.6</v>
      </c>
      <c r="F7" s="19" t="s">
        <v>10</v>
      </c>
      <c r="G7" s="24">
        <v>5</v>
      </c>
      <c r="H7" s="15" t="s">
        <v>11</v>
      </c>
      <c r="I7" s="25"/>
      <c r="J7" s="17"/>
      <c r="K7" s="3"/>
      <c r="M7" s="8"/>
      <c r="U7" s="8"/>
    </row>
    <row r="8" spans="1:26" ht="15" customHeight="1" x14ac:dyDescent="0.25">
      <c r="A8" s="14">
        <v>0.2</v>
      </c>
      <c r="B8" s="26" t="s">
        <v>12</v>
      </c>
      <c r="C8" s="17"/>
      <c r="D8" s="17"/>
      <c r="E8" s="17"/>
      <c r="F8" s="17"/>
      <c r="G8" s="17"/>
      <c r="H8" s="17"/>
      <c r="I8" s="27"/>
      <c r="J8" s="17"/>
      <c r="K8" s="3"/>
    </row>
    <row r="9" spans="1:26" x14ac:dyDescent="0.25">
      <c r="A9" s="28" t="s">
        <v>13</v>
      </c>
      <c r="B9" s="29" t="s">
        <v>14</v>
      </c>
      <c r="C9" s="30"/>
      <c r="D9" s="29" t="s">
        <v>15</v>
      </c>
      <c r="E9" s="31" t="s">
        <v>16</v>
      </c>
      <c r="F9" s="29" t="s">
        <v>17</v>
      </c>
      <c r="G9" s="32"/>
      <c r="H9" s="29" t="s">
        <v>18</v>
      </c>
      <c r="I9" s="29" t="s">
        <v>19</v>
      </c>
      <c r="J9" s="31" t="s">
        <v>165</v>
      </c>
      <c r="K9" s="3"/>
      <c r="M9" s="8" t="s">
        <v>1</v>
      </c>
      <c r="U9" s="8" t="s">
        <v>1</v>
      </c>
    </row>
    <row r="10" spans="1:26" ht="18" customHeight="1" x14ac:dyDescent="0.25">
      <c r="A10" s="15" t="s">
        <v>20</v>
      </c>
      <c r="B10" s="17"/>
      <c r="C10" s="33"/>
      <c r="D10" s="17"/>
      <c r="E10" s="34"/>
      <c r="F10" s="17"/>
      <c r="G10" s="17"/>
      <c r="H10" s="17"/>
      <c r="I10" s="17"/>
      <c r="J10" s="34"/>
      <c r="K10" s="3"/>
    </row>
    <row r="11" spans="1:26" x14ac:dyDescent="0.25">
      <c r="A11" s="35" t="s">
        <v>21</v>
      </c>
      <c r="B11" s="36">
        <f xml:space="preserve"> (ROUND((((E4)*(A7))-(E4*E6))+0.5,0))*(1-A8)</f>
        <v>114.4</v>
      </c>
      <c r="C11" s="37" t="s">
        <v>22</v>
      </c>
      <c r="D11" s="38">
        <v>0.8</v>
      </c>
      <c r="E11" s="34" t="s">
        <v>23</v>
      </c>
      <c r="F11" s="39">
        <v>220</v>
      </c>
      <c r="G11" s="17"/>
      <c r="H11" s="40">
        <f>B11*D11</f>
        <v>91.52000000000001</v>
      </c>
      <c r="I11" s="41">
        <f>F11*H11</f>
        <v>20134.400000000001</v>
      </c>
      <c r="J11" s="34" t="s">
        <v>24</v>
      </c>
      <c r="K11" s="3"/>
    </row>
    <row r="12" spans="1:26" x14ac:dyDescent="0.25">
      <c r="A12" s="35" t="s">
        <v>25</v>
      </c>
      <c r="B12" s="36">
        <f>(ROUND((((E4)*(A7))-(E4*E6))+0.5,0))*(1-(1-A8))</f>
        <v>28.599999999999994</v>
      </c>
      <c r="C12" s="37" t="s">
        <v>22</v>
      </c>
      <c r="D12" s="38">
        <v>0.5</v>
      </c>
      <c r="E12" s="34" t="s">
        <v>23</v>
      </c>
      <c r="F12" s="39">
        <v>200</v>
      </c>
      <c r="G12" s="17"/>
      <c r="H12" s="40">
        <f>B12*D12</f>
        <v>14.299999999999997</v>
      </c>
      <c r="I12" s="41">
        <f>F12*H12</f>
        <v>2859.9999999999995</v>
      </c>
      <c r="J12" s="34" t="s">
        <v>24</v>
      </c>
      <c r="K12" s="3"/>
    </row>
    <row r="13" spans="1:26" x14ac:dyDescent="0.25">
      <c r="A13" s="35" t="s">
        <v>26</v>
      </c>
      <c r="B13" s="42">
        <f>ROUND(((E4*E6*0.8)+0.25),0)</f>
        <v>12</v>
      </c>
      <c r="C13" s="37" t="s">
        <v>22</v>
      </c>
      <c r="D13" s="38">
        <v>1.35</v>
      </c>
      <c r="E13" s="34" t="s">
        <v>23</v>
      </c>
      <c r="F13" s="39">
        <v>90</v>
      </c>
      <c r="G13" s="17"/>
      <c r="H13" s="40">
        <f>B13*D13</f>
        <v>16.200000000000003</v>
      </c>
      <c r="I13" s="41">
        <f>F13*H13</f>
        <v>1458.0000000000002</v>
      </c>
      <c r="J13" s="34" t="s">
        <v>24</v>
      </c>
      <c r="K13" s="3"/>
      <c r="L13" s="43" t="s">
        <v>1</v>
      </c>
      <c r="N13" s="43" t="s">
        <v>1</v>
      </c>
      <c r="U13" s="8" t="s">
        <v>1</v>
      </c>
      <c r="Z13" s="44" t="s">
        <v>1</v>
      </c>
    </row>
    <row r="14" spans="1:26" x14ac:dyDescent="0.25">
      <c r="A14" s="35" t="s">
        <v>27</v>
      </c>
      <c r="B14" s="42">
        <f>ROUND(((E4*E6*(H72/E4))+0.25),0)</f>
        <v>15</v>
      </c>
      <c r="C14" s="37" t="s">
        <v>22</v>
      </c>
      <c r="D14" s="38">
        <v>1.75</v>
      </c>
      <c r="E14" s="34" t="s">
        <v>23</v>
      </c>
      <c r="F14" s="39">
        <v>90</v>
      </c>
      <c r="G14" s="17"/>
      <c r="H14" s="40">
        <f>B14*D14</f>
        <v>26.25</v>
      </c>
      <c r="I14" s="41">
        <f>F14*H14</f>
        <v>2362.5</v>
      </c>
      <c r="J14" s="34" t="s">
        <v>24</v>
      </c>
      <c r="K14" s="3"/>
      <c r="L14" s="43" t="s">
        <v>1</v>
      </c>
      <c r="M14" s="8" t="s">
        <v>1</v>
      </c>
      <c r="N14" s="43" t="s">
        <v>1</v>
      </c>
      <c r="U14" s="8" t="s">
        <v>1</v>
      </c>
      <c r="Z14" s="44" t="s">
        <v>1</v>
      </c>
    </row>
    <row r="15" spans="1:26" x14ac:dyDescent="0.25">
      <c r="A15" s="35" t="s">
        <v>28</v>
      </c>
      <c r="B15" s="42"/>
      <c r="C15" s="37"/>
      <c r="D15" s="38">
        <v>6.5</v>
      </c>
      <c r="E15" s="34" t="s">
        <v>29</v>
      </c>
      <c r="F15" s="39">
        <v>0</v>
      </c>
      <c r="G15" s="17"/>
      <c r="H15" s="40">
        <f>(E4*1.03)*D15</f>
        <v>669.5</v>
      </c>
      <c r="I15" s="41">
        <f>F15*H15</f>
        <v>0</v>
      </c>
      <c r="J15" s="34" t="s">
        <v>24</v>
      </c>
      <c r="K15" s="3"/>
      <c r="L15" s="43" t="s">
        <v>1</v>
      </c>
      <c r="M15" s="8" t="s">
        <v>1</v>
      </c>
      <c r="N15" s="43" t="s">
        <v>1</v>
      </c>
      <c r="U15" s="8" t="s">
        <v>1</v>
      </c>
      <c r="Z15" s="44" t="s">
        <v>1</v>
      </c>
    </row>
    <row r="16" spans="1:26" ht="18" customHeight="1" x14ac:dyDescent="0.25">
      <c r="A16" s="45" t="s">
        <v>30</v>
      </c>
      <c r="B16" s="42"/>
      <c r="C16" s="37"/>
      <c r="D16" s="38"/>
      <c r="E16" s="34"/>
      <c r="F16" s="46"/>
      <c r="G16" s="47">
        <f>I16/E$4</f>
        <v>268.149</v>
      </c>
      <c r="H16" s="45" t="s">
        <v>31</v>
      </c>
      <c r="I16" s="47">
        <f>SUM(I11:I15)</f>
        <v>26814.9</v>
      </c>
      <c r="J16" s="34" t="s">
        <v>24</v>
      </c>
      <c r="K16" s="3"/>
      <c r="L16" s="43"/>
      <c r="M16" s="8"/>
      <c r="N16" s="43"/>
      <c r="U16" s="8"/>
      <c r="Z16" s="44"/>
    </row>
    <row r="17" spans="1:26" ht="18" customHeight="1" x14ac:dyDescent="0.25">
      <c r="A17" s="15" t="s">
        <v>32</v>
      </c>
      <c r="B17" s="17"/>
      <c r="C17" s="17"/>
      <c r="D17" s="17"/>
      <c r="E17" s="34"/>
      <c r="F17" s="17"/>
      <c r="G17" s="17"/>
      <c r="H17" s="17"/>
      <c r="I17" s="17"/>
      <c r="J17" s="34"/>
      <c r="K17" s="3"/>
      <c r="L17" s="43" t="s">
        <v>1</v>
      </c>
      <c r="M17" s="8" t="s">
        <v>1</v>
      </c>
      <c r="N17" s="43" t="s">
        <v>1</v>
      </c>
      <c r="U17" s="8" t="s">
        <v>1</v>
      </c>
      <c r="Z17" s="44" t="s">
        <v>1</v>
      </c>
    </row>
    <row r="18" spans="1:26" x14ac:dyDescent="0.25">
      <c r="A18" s="17"/>
      <c r="B18" s="34" t="s">
        <v>33</v>
      </c>
      <c r="C18" s="17"/>
      <c r="E18" s="34"/>
      <c r="F18" s="17"/>
      <c r="G18" s="17"/>
      <c r="H18" s="17"/>
      <c r="I18" s="17"/>
      <c r="J18" s="34"/>
      <c r="K18" s="3"/>
      <c r="M18" s="8"/>
      <c r="U18" s="8" t="s">
        <v>1</v>
      </c>
      <c r="Z18" s="44" t="s">
        <v>1</v>
      </c>
    </row>
    <row r="19" spans="1:26" x14ac:dyDescent="0.25">
      <c r="A19" s="17" t="str">
        <f t="shared" ref="A19:A24" si="0">A75</f>
        <v xml:space="preserve"> Alfalfa Hay, Bloom</v>
      </c>
      <c r="B19" s="48">
        <v>0.05</v>
      </c>
      <c r="C19" s="17"/>
      <c r="E19" s="49" t="str">
        <f t="shared" ref="E19:E26" si="1">IF(C75&gt;99,"Cwt",IF(C75&gt;0,"Bushel","Ton"))</f>
        <v>Ton</v>
      </c>
      <c r="F19" s="39">
        <v>275</v>
      </c>
      <c r="G19" s="17"/>
      <c r="H19" s="50">
        <f t="shared" ref="H19:H26" si="2">IF(C75&lt;=0,(K75*(1+B19)),(K75*2000)/C75*(1+B19))</f>
        <v>0</v>
      </c>
      <c r="I19" s="41">
        <f t="shared" ref="I19:I35" si="3">F19*H19</f>
        <v>0</v>
      </c>
      <c r="J19" s="34" t="s">
        <v>24</v>
      </c>
      <c r="K19" s="3"/>
      <c r="U19" s="8" t="s">
        <v>1</v>
      </c>
    </row>
    <row r="20" spans="1:26" x14ac:dyDescent="0.25">
      <c r="A20" s="17" t="str">
        <f t="shared" si="0"/>
        <v xml:space="preserve"> Mixed Hay, 2nd Cutting</v>
      </c>
      <c r="B20" s="48">
        <v>0.05</v>
      </c>
      <c r="C20" s="17"/>
      <c r="E20" s="34" t="str">
        <f t="shared" si="1"/>
        <v>Ton</v>
      </c>
      <c r="F20" s="39">
        <v>180</v>
      </c>
      <c r="G20" s="17"/>
      <c r="H20" s="50">
        <f t="shared" si="2"/>
        <v>6.3000000000000007</v>
      </c>
      <c r="I20" s="41">
        <f t="shared" si="3"/>
        <v>1134.0000000000002</v>
      </c>
      <c r="J20" s="34" t="s">
        <v>24</v>
      </c>
      <c r="K20" s="3"/>
      <c r="U20" s="8"/>
    </row>
    <row r="21" spans="1:26" x14ac:dyDescent="0.25">
      <c r="A21" s="17" t="str">
        <f t="shared" si="0"/>
        <v xml:space="preserve"> Grass Hay, Average</v>
      </c>
      <c r="B21" s="48">
        <v>0.05</v>
      </c>
      <c r="C21" s="17"/>
      <c r="E21" s="34" t="str">
        <f t="shared" si="1"/>
        <v>Ton</v>
      </c>
      <c r="F21" s="39">
        <v>130</v>
      </c>
      <c r="G21" s="17"/>
      <c r="H21" s="50">
        <f t="shared" si="2"/>
        <v>0</v>
      </c>
      <c r="I21" s="41">
        <f t="shared" si="3"/>
        <v>0</v>
      </c>
      <c r="J21" s="34" t="s">
        <v>24</v>
      </c>
      <c r="K21" s="3"/>
      <c r="U21" s="8" t="s">
        <v>1</v>
      </c>
    </row>
    <row r="22" spans="1:26" x14ac:dyDescent="0.25">
      <c r="A22" s="17" t="str">
        <f t="shared" si="0"/>
        <v xml:space="preserve"> Pelleted Supplement</v>
      </c>
      <c r="B22" s="48">
        <v>0.02</v>
      </c>
      <c r="C22" s="17"/>
      <c r="E22" s="34" t="str">
        <f t="shared" si="1"/>
        <v>Ton</v>
      </c>
      <c r="F22" s="39">
        <v>425</v>
      </c>
      <c r="G22" s="17"/>
      <c r="H22" s="50">
        <f t="shared" si="2"/>
        <v>5.0087099999999998</v>
      </c>
      <c r="I22" s="41">
        <f t="shared" si="3"/>
        <v>2128.7017499999997</v>
      </c>
      <c r="J22" s="34" t="s">
        <v>24</v>
      </c>
      <c r="K22" s="3"/>
      <c r="M22" s="8" t="s">
        <v>1</v>
      </c>
      <c r="U22" s="8" t="s">
        <v>1</v>
      </c>
    </row>
    <row r="23" spans="1:26" x14ac:dyDescent="0.25">
      <c r="A23" s="17" t="str">
        <f t="shared" si="0"/>
        <v xml:space="preserve"> Corn Grain</v>
      </c>
      <c r="B23" s="48">
        <v>0.02</v>
      </c>
      <c r="C23" s="17"/>
      <c r="E23" s="34" t="str">
        <f t="shared" si="1"/>
        <v>Bushel</v>
      </c>
      <c r="F23" s="39">
        <v>6.5</v>
      </c>
      <c r="G23" s="17"/>
      <c r="H23" s="50">
        <f t="shared" si="2"/>
        <v>0</v>
      </c>
      <c r="I23" s="41">
        <f t="shared" si="3"/>
        <v>0</v>
      </c>
      <c r="J23" s="34" t="s">
        <v>24</v>
      </c>
      <c r="K23" s="3"/>
      <c r="M23" s="8" t="s">
        <v>1</v>
      </c>
      <c r="U23" s="8" t="s">
        <v>1</v>
      </c>
      <c r="Z23" s="44" t="s">
        <v>1</v>
      </c>
    </row>
    <row r="24" spans="1:26" x14ac:dyDescent="0.25">
      <c r="A24" s="17" t="str">
        <f t="shared" si="0"/>
        <v xml:space="preserve"> Bulk Commodity</v>
      </c>
      <c r="B24" s="48">
        <v>0.02</v>
      </c>
      <c r="C24" s="17"/>
      <c r="E24" s="34" t="str">
        <f t="shared" si="1"/>
        <v>Ton</v>
      </c>
      <c r="F24" s="51">
        <v>235</v>
      </c>
      <c r="G24" s="17"/>
      <c r="H24" s="50">
        <f t="shared" si="2"/>
        <v>19.067625000000003</v>
      </c>
      <c r="I24" s="41">
        <f t="shared" si="3"/>
        <v>4480.8918750000012</v>
      </c>
      <c r="J24" s="34" t="s">
        <v>166</v>
      </c>
      <c r="K24" s="3"/>
      <c r="L24" s="43" t="s">
        <v>1</v>
      </c>
      <c r="M24" s="8" t="s">
        <v>1</v>
      </c>
      <c r="N24" s="43" t="s">
        <v>1</v>
      </c>
      <c r="U24" s="8" t="s">
        <v>1</v>
      </c>
      <c r="Z24" s="44" t="s">
        <v>1</v>
      </c>
    </row>
    <row r="25" spans="1:26" x14ac:dyDescent="0.25">
      <c r="A25" s="17" t="str">
        <f>A81</f>
        <v>Pasture Dry Matter</v>
      </c>
      <c r="B25" s="48">
        <v>0.65</v>
      </c>
      <c r="C25" s="17"/>
      <c r="E25" s="34" t="str">
        <f t="shared" si="1"/>
        <v>Ton</v>
      </c>
      <c r="F25" s="39">
        <v>24</v>
      </c>
      <c r="G25" s="17"/>
      <c r="H25" s="50">
        <f t="shared" si="2"/>
        <v>106.50585000000001</v>
      </c>
      <c r="I25" s="41">
        <f>F25*H25</f>
        <v>2556.1404000000002</v>
      </c>
      <c r="J25" s="187">
        <f>SUM(I19:I28)</f>
        <v>11098.114025000001</v>
      </c>
      <c r="K25" s="3"/>
      <c r="L25" s="43" t="s">
        <v>1</v>
      </c>
      <c r="M25" s="8" t="s">
        <v>1</v>
      </c>
      <c r="N25" s="43" t="s">
        <v>1</v>
      </c>
      <c r="U25" s="8" t="s">
        <v>1</v>
      </c>
      <c r="Z25" s="44" t="s">
        <v>1</v>
      </c>
    </row>
    <row r="26" spans="1:26" x14ac:dyDescent="0.25">
      <c r="A26" s="17" t="str">
        <f>A82</f>
        <v xml:space="preserve"> Dical</v>
      </c>
      <c r="B26" s="48">
        <v>0.02</v>
      </c>
      <c r="C26" s="17"/>
      <c r="E26" s="34" t="str">
        <f t="shared" si="1"/>
        <v>Cwt</v>
      </c>
      <c r="F26" s="39">
        <v>13.5</v>
      </c>
      <c r="G26" s="17"/>
      <c r="H26" s="50">
        <f t="shared" si="2"/>
        <v>0</v>
      </c>
      <c r="I26" s="41">
        <f t="shared" si="3"/>
        <v>0</v>
      </c>
      <c r="J26" s="34" t="s">
        <v>34</v>
      </c>
      <c r="K26" s="3"/>
      <c r="L26" s="43" t="s">
        <v>1</v>
      </c>
      <c r="M26" s="8" t="s">
        <v>1</v>
      </c>
      <c r="N26" s="43" t="s">
        <v>1</v>
      </c>
      <c r="U26" s="8" t="s">
        <v>1</v>
      </c>
      <c r="Z26" s="44" t="s">
        <v>1</v>
      </c>
    </row>
    <row r="27" spans="1:26" x14ac:dyDescent="0.25">
      <c r="A27" s="35" t="s">
        <v>35</v>
      </c>
      <c r="B27" s="52"/>
      <c r="C27" s="17" t="s">
        <v>23</v>
      </c>
      <c r="D27" s="17"/>
      <c r="E27" s="34" t="s">
        <v>23</v>
      </c>
      <c r="F27" s="39">
        <v>1.4</v>
      </c>
      <c r="G27" s="17"/>
      <c r="H27" s="53">
        <f>((H23*C79)+(H24*C80)+(H25*C81)+(H26*C82))/100</f>
        <v>0</v>
      </c>
      <c r="I27" s="41">
        <f>IF(B27=N(ISNUMBER(B27)),ROUND((F27*H27),2),ROUND((B27*F27),2))</f>
        <v>0</v>
      </c>
      <c r="J27" s="187">
        <f>SUM(I19:I28)/E4</f>
        <v>110.98114025000001</v>
      </c>
      <c r="K27" s="3"/>
      <c r="L27" s="43"/>
      <c r="M27" s="8"/>
      <c r="N27" s="43"/>
      <c r="U27" s="8"/>
      <c r="Z27" s="44"/>
    </row>
    <row r="28" spans="1:26" x14ac:dyDescent="0.25">
      <c r="A28" s="35" t="s">
        <v>36</v>
      </c>
      <c r="B28" s="52"/>
      <c r="C28" s="17" t="s">
        <v>37</v>
      </c>
      <c r="D28" s="17"/>
      <c r="E28" s="34" t="s">
        <v>23</v>
      </c>
      <c r="F28" s="39">
        <v>22</v>
      </c>
      <c r="H28" s="40">
        <f>((E4+H72)*0.75*365/16/100)+(A7*E4*0.263*80/16/100)</f>
        <v>36.289875000000002</v>
      </c>
      <c r="I28" s="41">
        <f>IF(B28=N(ISNUMBER(B28)),ROUND((F28*H28),2),ROUND((B28*F28),2))</f>
        <v>798.38</v>
      </c>
      <c r="J28" s="34" t="s">
        <v>38</v>
      </c>
      <c r="K28" s="3"/>
      <c r="L28" s="43" t="s">
        <v>1</v>
      </c>
      <c r="M28" s="8" t="s">
        <v>1</v>
      </c>
      <c r="N28" s="43" t="s">
        <v>1</v>
      </c>
      <c r="U28" s="8" t="s">
        <v>1</v>
      </c>
    </row>
    <row r="29" spans="1:26" x14ac:dyDescent="0.25">
      <c r="A29" s="35" t="s">
        <v>39</v>
      </c>
      <c r="B29" s="52"/>
      <c r="C29" s="17" t="s">
        <v>40</v>
      </c>
      <c r="D29" s="17"/>
      <c r="E29" s="34" t="s">
        <v>41</v>
      </c>
      <c r="F29" s="41">
        <f>J120/E4</f>
        <v>16.312000000000001</v>
      </c>
      <c r="G29" s="17"/>
      <c r="H29" s="54">
        <f>E4</f>
        <v>100</v>
      </c>
      <c r="I29" s="41">
        <f>IF(B29=N(ISNUMBER(B29)),ROUND((F29*H29),2),ROUND((B29*H29),2))</f>
        <v>1631.2</v>
      </c>
      <c r="J29" s="187">
        <v>15.57</v>
      </c>
      <c r="K29" s="3"/>
      <c r="L29" s="43" t="s">
        <v>1</v>
      </c>
      <c r="M29" s="8" t="s">
        <v>1</v>
      </c>
      <c r="N29" s="43" t="s">
        <v>1</v>
      </c>
      <c r="U29" s="8" t="s">
        <v>1</v>
      </c>
    </row>
    <row r="30" spans="1:26" x14ac:dyDescent="0.25">
      <c r="A30" s="35" t="s">
        <v>42</v>
      </c>
      <c r="B30" s="17"/>
      <c r="C30" s="17"/>
      <c r="D30" s="17"/>
      <c r="E30" s="34" t="s">
        <v>41</v>
      </c>
      <c r="F30" s="39">
        <v>0</v>
      </c>
      <c r="G30" s="17"/>
      <c r="H30" s="54">
        <f>E4+H72</f>
        <v>200</v>
      </c>
      <c r="I30" s="41">
        <f>F30*H30</f>
        <v>0</v>
      </c>
      <c r="J30" s="34" t="s">
        <v>24</v>
      </c>
      <c r="K30" s="3"/>
      <c r="L30" s="43"/>
      <c r="M30" s="8"/>
      <c r="N30" s="43"/>
      <c r="U30" s="8"/>
    </row>
    <row r="31" spans="1:26" x14ac:dyDescent="0.25">
      <c r="A31" s="35" t="s">
        <v>43</v>
      </c>
      <c r="B31" s="17"/>
      <c r="C31" s="17"/>
      <c r="D31" s="17"/>
      <c r="E31" s="34" t="s">
        <v>41</v>
      </c>
      <c r="F31" s="39">
        <v>4</v>
      </c>
      <c r="G31" s="17"/>
      <c r="H31" s="54">
        <f>E4</f>
        <v>100</v>
      </c>
      <c r="I31" s="41">
        <f t="shared" si="3"/>
        <v>400</v>
      </c>
      <c r="J31" s="34" t="s">
        <v>24</v>
      </c>
      <c r="K31" s="3"/>
      <c r="L31" s="43"/>
      <c r="M31" s="8"/>
      <c r="N31" s="43"/>
      <c r="U31" s="8"/>
    </row>
    <row r="32" spans="1:26" x14ac:dyDescent="0.25">
      <c r="A32" s="35" t="s">
        <v>44</v>
      </c>
      <c r="B32" s="17"/>
      <c r="C32" s="17"/>
      <c r="D32" s="17"/>
      <c r="E32" s="34" t="s">
        <v>41</v>
      </c>
      <c r="F32" s="39">
        <v>700</v>
      </c>
      <c r="G32" s="17"/>
      <c r="H32" s="54">
        <f>(E4/100)</f>
        <v>1</v>
      </c>
      <c r="I32" s="41">
        <f t="shared" si="3"/>
        <v>700</v>
      </c>
      <c r="J32" s="34" t="s">
        <v>45</v>
      </c>
      <c r="K32" s="3"/>
      <c r="L32" s="43"/>
      <c r="M32" s="8"/>
      <c r="N32" s="43"/>
      <c r="U32" s="8"/>
    </row>
    <row r="33" spans="1:26" x14ac:dyDescent="0.25">
      <c r="A33" s="35" t="s">
        <v>46</v>
      </c>
      <c r="B33" s="52">
        <v>0.3</v>
      </c>
      <c r="C33" s="55" t="s">
        <v>47</v>
      </c>
      <c r="D33" s="55"/>
      <c r="E33" s="34" t="s">
        <v>48</v>
      </c>
      <c r="F33" s="39">
        <v>0</v>
      </c>
      <c r="G33" s="17"/>
      <c r="H33" s="54">
        <f>B33*E4</f>
        <v>30</v>
      </c>
      <c r="I33" s="41">
        <f>F33*H33</f>
        <v>0</v>
      </c>
      <c r="J33" s="34">
        <f>(I33/E4)</f>
        <v>0</v>
      </c>
      <c r="K33" s="3"/>
      <c r="L33" s="43"/>
      <c r="M33" s="8"/>
      <c r="N33" s="43"/>
      <c r="U33" s="8"/>
    </row>
    <row r="34" spans="1:26" x14ac:dyDescent="0.25">
      <c r="A34" s="35" t="s">
        <v>49</v>
      </c>
      <c r="B34" s="56">
        <v>0.3</v>
      </c>
      <c r="C34" s="55" t="s">
        <v>47</v>
      </c>
      <c r="D34" s="55"/>
      <c r="E34" s="34" t="s">
        <v>48</v>
      </c>
      <c r="F34" s="39">
        <v>84</v>
      </c>
      <c r="G34" s="17"/>
      <c r="H34" s="54">
        <f>B34*E4</f>
        <v>30</v>
      </c>
      <c r="I34" s="41">
        <f t="shared" si="3"/>
        <v>2520</v>
      </c>
      <c r="J34" s="34" t="s">
        <v>24</v>
      </c>
      <c r="K34" s="3"/>
      <c r="L34" s="43"/>
      <c r="M34" s="8"/>
      <c r="N34" s="43"/>
      <c r="U34" s="8"/>
    </row>
    <row r="35" spans="1:26" x14ac:dyDescent="0.25">
      <c r="A35" s="35" t="s">
        <v>50</v>
      </c>
      <c r="B35" s="17"/>
      <c r="C35" s="17"/>
      <c r="D35" s="17"/>
      <c r="E35" s="34" t="s">
        <v>41</v>
      </c>
      <c r="F35" s="39">
        <v>5.2</v>
      </c>
      <c r="G35" s="17"/>
      <c r="H35" s="54">
        <f>B13+B14</f>
        <v>27</v>
      </c>
      <c r="I35" s="41">
        <f t="shared" si="3"/>
        <v>140.4</v>
      </c>
      <c r="J35" s="34" t="s">
        <v>24</v>
      </c>
      <c r="K35" s="3"/>
      <c r="L35" s="43"/>
      <c r="M35" s="8"/>
      <c r="N35" s="43"/>
      <c r="U35" s="8"/>
    </row>
    <row r="36" spans="1:26" ht="21" x14ac:dyDescent="0.25">
      <c r="A36" s="35" t="s">
        <v>51</v>
      </c>
      <c r="B36" s="57"/>
      <c r="C36" s="17" t="s">
        <v>40</v>
      </c>
      <c r="D36" s="17"/>
      <c r="E36" s="34" t="s">
        <v>41</v>
      </c>
      <c r="F36" s="58">
        <f>IF(H36=0,0,((SUM(I13:I14)*0.03+(B13+B14)*3)/H36))</f>
        <v>7.2450000000000001</v>
      </c>
      <c r="G36" s="17"/>
      <c r="H36" s="54">
        <f>B13+B14</f>
        <v>27</v>
      </c>
      <c r="I36" s="41">
        <f>IF(B36=N(ISNUMBER(B36)),ROUND((F36*H36),2),ROUND((B36*H36),2))</f>
        <v>195.62</v>
      </c>
      <c r="J36" s="186" t="s">
        <v>168</v>
      </c>
      <c r="K36" s="3"/>
      <c r="L36" s="43"/>
      <c r="M36" s="8"/>
      <c r="N36" s="43"/>
      <c r="U36" s="8"/>
    </row>
    <row r="37" spans="1:26" x14ac:dyDescent="0.25">
      <c r="A37" s="35" t="s">
        <v>52</v>
      </c>
      <c r="B37" s="17"/>
      <c r="C37" s="17"/>
      <c r="D37" s="17"/>
      <c r="E37" s="34" t="s">
        <v>41</v>
      </c>
      <c r="F37" s="39">
        <v>3.75</v>
      </c>
      <c r="G37" s="17"/>
      <c r="H37" s="54">
        <f>B11</f>
        <v>114.4</v>
      </c>
      <c r="I37" s="41">
        <f>F37*H37</f>
        <v>429</v>
      </c>
      <c r="J37" s="187">
        <f>SUM(I30:I32,I34:I43,I45)</f>
        <v>6857.73</v>
      </c>
      <c r="K37" s="3"/>
      <c r="L37" s="43"/>
      <c r="M37" s="8"/>
      <c r="N37" s="43"/>
      <c r="U37" s="8"/>
    </row>
    <row r="38" spans="1:26" ht="21" x14ac:dyDescent="0.25">
      <c r="A38" s="35" t="s">
        <v>53</v>
      </c>
      <c r="B38" s="57"/>
      <c r="C38" s="17" t="s">
        <v>40</v>
      </c>
      <c r="D38" s="17"/>
      <c r="E38" s="34" t="s">
        <v>41</v>
      </c>
      <c r="F38" s="58">
        <f>IF(H36=0,0,((SUM(I11:I11)*0.03+(B11)*3)/H38))</f>
        <v>8.2800000000000011</v>
      </c>
      <c r="G38" s="17"/>
      <c r="H38" s="54">
        <f>B11</f>
        <v>114.4</v>
      </c>
      <c r="I38" s="41">
        <f>IF(B38=N(ISNUMBER(B38)),ROUND((F38*H38),2),ROUND((B38*H38),2))</f>
        <v>947.23</v>
      </c>
      <c r="J38" s="186" t="s">
        <v>169</v>
      </c>
      <c r="K38" s="3"/>
      <c r="L38" s="43"/>
      <c r="M38" s="8"/>
      <c r="N38" s="43"/>
      <c r="U38" s="8"/>
    </row>
    <row r="39" spans="1:26" x14ac:dyDescent="0.25">
      <c r="A39" s="35" t="s">
        <v>54</v>
      </c>
      <c r="B39" s="17"/>
      <c r="C39" s="17"/>
      <c r="D39" s="17"/>
      <c r="E39" s="34" t="s">
        <v>41</v>
      </c>
      <c r="F39" s="59">
        <v>0.5</v>
      </c>
      <c r="H39" s="60">
        <f>SUM(B11:B14)</f>
        <v>170</v>
      </c>
      <c r="I39" s="41">
        <f t="shared" ref="I39:I44" si="4">F39*H39</f>
        <v>85</v>
      </c>
      <c r="J39" s="187">
        <f>(J37/E4)</f>
        <v>68.577299999999994</v>
      </c>
      <c r="K39" s="3"/>
      <c r="L39" s="43"/>
      <c r="M39" s="8"/>
      <c r="N39" s="43"/>
      <c r="U39" s="8"/>
    </row>
    <row r="40" spans="1:26" x14ac:dyDescent="0.25">
      <c r="A40" s="35" t="s">
        <v>55</v>
      </c>
      <c r="B40" s="17"/>
      <c r="C40" s="17"/>
      <c r="D40" s="17"/>
      <c r="E40" s="34" t="s">
        <v>41</v>
      </c>
      <c r="F40" s="59">
        <v>8</v>
      </c>
      <c r="H40" s="60">
        <f>E4</f>
        <v>100</v>
      </c>
      <c r="I40" s="41">
        <f t="shared" si="4"/>
        <v>800</v>
      </c>
      <c r="J40" s="34" t="s">
        <v>24</v>
      </c>
      <c r="K40" s="3"/>
      <c r="L40" s="43"/>
      <c r="M40" s="8"/>
      <c r="N40" s="43"/>
      <c r="U40" s="8"/>
    </row>
    <row r="41" spans="1:26" x14ac:dyDescent="0.25">
      <c r="A41" s="35" t="s">
        <v>56</v>
      </c>
      <c r="B41" s="17"/>
      <c r="C41" s="17"/>
      <c r="D41" s="17"/>
      <c r="E41" s="34" t="s">
        <v>41</v>
      </c>
      <c r="F41" s="59">
        <v>0.9</v>
      </c>
      <c r="H41" s="60">
        <f>E4</f>
        <v>100</v>
      </c>
      <c r="I41" s="41">
        <f t="shared" si="4"/>
        <v>90</v>
      </c>
      <c r="J41" s="34" t="s">
        <v>24</v>
      </c>
      <c r="K41" s="3"/>
      <c r="L41" s="43"/>
      <c r="M41" s="8"/>
      <c r="N41" s="43"/>
      <c r="U41" s="8"/>
    </row>
    <row r="42" spans="1:26" x14ac:dyDescent="0.25">
      <c r="A42" s="35" t="s">
        <v>57</v>
      </c>
      <c r="B42" s="57">
        <v>50</v>
      </c>
      <c r="C42" s="17" t="s">
        <v>37</v>
      </c>
      <c r="D42" s="17"/>
      <c r="E42" s="34" t="s">
        <v>58</v>
      </c>
      <c r="F42" s="59">
        <v>0</v>
      </c>
      <c r="H42" s="60">
        <f>E4*B42/2000</f>
        <v>2.5</v>
      </c>
      <c r="I42" s="41">
        <f t="shared" si="4"/>
        <v>0</v>
      </c>
      <c r="J42" s="34" t="s">
        <v>24</v>
      </c>
      <c r="K42" s="3"/>
      <c r="L42" s="43"/>
      <c r="M42" s="8"/>
      <c r="N42" s="43"/>
      <c r="U42" s="8"/>
    </row>
    <row r="43" spans="1:26" x14ac:dyDescent="0.25">
      <c r="A43" s="35" t="s">
        <v>59</v>
      </c>
      <c r="B43" s="17"/>
      <c r="C43" s="17"/>
      <c r="D43" s="17"/>
      <c r="E43" s="34" t="s">
        <v>41</v>
      </c>
      <c r="F43" s="39">
        <v>2</v>
      </c>
      <c r="H43" s="54">
        <f>E4</f>
        <v>100</v>
      </c>
      <c r="I43" s="41">
        <f t="shared" si="4"/>
        <v>200</v>
      </c>
      <c r="J43" s="34" t="s">
        <v>170</v>
      </c>
      <c r="K43" s="3"/>
    </row>
    <row r="44" spans="1:26" x14ac:dyDescent="0.25">
      <c r="A44" s="35" t="s">
        <v>60</v>
      </c>
      <c r="B44" s="61">
        <v>3</v>
      </c>
      <c r="C44" s="17" t="s">
        <v>61</v>
      </c>
      <c r="E44" s="34" t="s">
        <v>62</v>
      </c>
      <c r="F44" s="39">
        <v>0</v>
      </c>
      <c r="H44" s="54">
        <f>E4*B44</f>
        <v>300</v>
      </c>
      <c r="I44" s="41">
        <f t="shared" si="4"/>
        <v>0</v>
      </c>
      <c r="J44" s="34">
        <f>(I44/E4)</f>
        <v>0</v>
      </c>
      <c r="K44" s="3"/>
      <c r="L44" s="43"/>
      <c r="M44" s="8"/>
      <c r="N44" s="43"/>
      <c r="U44" s="8"/>
    </row>
    <row r="45" spans="1:26" x14ac:dyDescent="0.25">
      <c r="A45" s="35" t="s">
        <v>63</v>
      </c>
      <c r="B45" s="62">
        <v>6</v>
      </c>
      <c r="C45" s="17" t="s">
        <v>64</v>
      </c>
      <c r="D45" s="63"/>
      <c r="E45" s="34" t="s">
        <v>65</v>
      </c>
      <c r="F45" s="64">
        <v>0.04</v>
      </c>
      <c r="H45" s="65">
        <f>ROUND(SUM(I19:I44)-SUM(I35:I38),0)</f>
        <v>17524</v>
      </c>
      <c r="I45" s="41">
        <f>B45/12*F45*H45</f>
        <v>350.48</v>
      </c>
      <c r="J45" s="34" t="s">
        <v>24</v>
      </c>
      <c r="K45" s="3"/>
      <c r="L45" s="43"/>
      <c r="M45" s="8"/>
      <c r="N45" s="43"/>
      <c r="U45" s="8"/>
    </row>
    <row r="46" spans="1:26" ht="15" customHeight="1" x14ac:dyDescent="0.25">
      <c r="A46" s="17"/>
      <c r="B46" s="17"/>
      <c r="C46" s="17"/>
      <c r="D46" s="17"/>
      <c r="E46" s="17"/>
      <c r="F46" s="17"/>
      <c r="G46" s="17"/>
      <c r="H46" s="17"/>
      <c r="I46" s="41"/>
      <c r="J46" s="34" t="s">
        <v>24</v>
      </c>
      <c r="K46" s="3"/>
      <c r="M46" s="8" t="s">
        <v>1</v>
      </c>
      <c r="U46" s="8" t="s">
        <v>1</v>
      </c>
      <c r="Z46" s="66" t="s">
        <v>1</v>
      </c>
    </row>
    <row r="47" spans="1:26" ht="18" customHeight="1" x14ac:dyDescent="0.25">
      <c r="A47" s="15" t="s">
        <v>66</v>
      </c>
      <c r="B47" s="17"/>
      <c r="C47" s="17"/>
      <c r="D47" s="17"/>
      <c r="E47" s="17"/>
      <c r="G47" s="47">
        <f>I47/E$4</f>
        <v>195.87044025</v>
      </c>
      <c r="H47" s="45" t="s">
        <v>31</v>
      </c>
      <c r="I47" s="47">
        <f>SUM(I19:I45)</f>
        <v>19587.044024999999</v>
      </c>
      <c r="J47" s="34" t="s">
        <v>24</v>
      </c>
      <c r="K47" s="3"/>
      <c r="M47" s="8" t="s">
        <v>1</v>
      </c>
      <c r="U47" s="8" t="s">
        <v>1</v>
      </c>
    </row>
    <row r="48" spans="1:26" ht="18" customHeight="1" x14ac:dyDescent="0.25">
      <c r="A48" s="15" t="s">
        <v>67</v>
      </c>
      <c r="B48" s="17"/>
      <c r="C48" s="17"/>
      <c r="D48" s="17" t="s">
        <v>171</v>
      </c>
      <c r="E48" s="67">
        <v>0</v>
      </c>
      <c r="F48" s="68" t="s">
        <v>68</v>
      </c>
      <c r="G48" s="47">
        <f>(D11*F11)</f>
        <v>176</v>
      </c>
      <c r="H48" s="45"/>
      <c r="I48" s="47">
        <f>(G48*E48)</f>
        <v>0</v>
      </c>
      <c r="J48" s="34"/>
      <c r="K48" s="3"/>
      <c r="M48" s="8"/>
      <c r="U48" s="8"/>
    </row>
    <row r="49" spans="1:26" ht="18" customHeight="1" x14ac:dyDescent="0.25">
      <c r="A49" s="15" t="s">
        <v>69</v>
      </c>
      <c r="B49" s="17"/>
      <c r="C49" s="17"/>
      <c r="D49" s="17"/>
      <c r="E49" s="17"/>
      <c r="F49" s="17"/>
      <c r="G49" s="17"/>
      <c r="H49" s="17"/>
      <c r="I49" s="47">
        <f>J91</f>
        <v>0</v>
      </c>
      <c r="J49" s="34" t="s">
        <v>24</v>
      </c>
      <c r="K49" s="3"/>
      <c r="M49" s="8"/>
      <c r="U49" s="8"/>
    </row>
    <row r="50" spans="1:26" ht="18" customHeight="1" x14ac:dyDescent="0.25">
      <c r="A50" s="35"/>
      <c r="B50" s="17"/>
      <c r="C50" s="17"/>
      <c r="D50" s="17"/>
      <c r="E50" s="17"/>
      <c r="F50" s="17"/>
      <c r="G50" s="17"/>
      <c r="H50" s="17"/>
      <c r="I50" s="41"/>
      <c r="J50" s="34"/>
      <c r="K50" s="3"/>
      <c r="M50" s="8"/>
      <c r="U50" s="8"/>
    </row>
    <row r="51" spans="1:26" ht="21" customHeight="1" x14ac:dyDescent="0.25">
      <c r="A51" s="188" t="s">
        <v>70</v>
      </c>
      <c r="B51" s="189"/>
      <c r="C51" s="189"/>
      <c r="D51" s="189"/>
      <c r="E51" s="189"/>
      <c r="F51" s="189"/>
      <c r="G51" s="70">
        <f>I51/$E$4</f>
        <v>72.278559750000028</v>
      </c>
      <c r="H51" s="71" t="s">
        <v>31</v>
      </c>
      <c r="I51" s="70">
        <f>I16-I47-I48-I49</f>
        <v>7227.8559750000022</v>
      </c>
      <c r="J51" s="34" t="s">
        <v>24</v>
      </c>
      <c r="K51" s="3"/>
      <c r="M51" s="8" t="s">
        <v>1</v>
      </c>
      <c r="U51" s="8" t="s">
        <v>1</v>
      </c>
    </row>
    <row r="52" spans="1:26" ht="15" customHeight="1" thickBot="1" x14ac:dyDescent="0.3">
      <c r="A52" s="72"/>
      <c r="B52" s="73"/>
      <c r="C52" s="73"/>
      <c r="D52" s="73"/>
      <c r="E52" s="73"/>
      <c r="F52" s="73"/>
      <c r="G52" s="74"/>
      <c r="H52" s="75"/>
      <c r="I52" s="74"/>
      <c r="J52" s="76"/>
      <c r="K52" s="3"/>
      <c r="M52" s="8"/>
      <c r="U52" s="8"/>
    </row>
    <row r="53" spans="1:26" ht="15.6" thickTop="1" x14ac:dyDescent="0.25">
      <c r="K53" s="3"/>
    </row>
    <row r="54" spans="1:26" x14ac:dyDescent="0.25">
      <c r="A54" s="77" t="s">
        <v>71</v>
      </c>
      <c r="B54" s="77"/>
      <c r="C54" s="17"/>
      <c r="D54" s="78" t="s">
        <v>72</v>
      </c>
      <c r="E54" s="78"/>
      <c r="F54" s="78"/>
      <c r="G54" s="78"/>
      <c r="H54" s="78"/>
      <c r="I54" s="10"/>
      <c r="J54" s="10"/>
      <c r="K54" s="3"/>
      <c r="M54" s="8" t="s">
        <v>1</v>
      </c>
      <c r="O54" s="79" t="s">
        <v>1</v>
      </c>
      <c r="U54" s="8" t="s">
        <v>1</v>
      </c>
      <c r="Z54" s="66" t="s">
        <v>1</v>
      </c>
    </row>
    <row r="55" spans="1:26" x14ac:dyDescent="0.25">
      <c r="C55" s="80"/>
      <c r="D55" s="81">
        <f>$G$55-($B$64*5)</f>
        <v>-0.25</v>
      </c>
      <c r="E55" s="81">
        <f>$G$55-($B$64*2)</f>
        <v>-0.1</v>
      </c>
      <c r="F55" s="81">
        <f>$G$55-($B$64)</f>
        <v>-0.05</v>
      </c>
      <c r="G55" s="81">
        <v>0</v>
      </c>
      <c r="H55" s="81">
        <f>$G$55+($B$64)</f>
        <v>0.05</v>
      </c>
      <c r="I55" s="81">
        <f>$G$55+($B$64*2)</f>
        <v>0.1</v>
      </c>
      <c r="J55" s="81">
        <f>$G$55+($B$64*5)</f>
        <v>0.25</v>
      </c>
      <c r="K55" s="3"/>
      <c r="M55" s="8" t="s">
        <v>1</v>
      </c>
      <c r="O55" s="79" t="s">
        <v>1</v>
      </c>
      <c r="U55" s="8" t="s">
        <v>1</v>
      </c>
      <c r="Z55" s="66" t="s">
        <v>1</v>
      </c>
    </row>
    <row r="56" spans="1:26" x14ac:dyDescent="0.25">
      <c r="C56" s="80"/>
      <c r="D56" s="82" t="s">
        <v>73</v>
      </c>
      <c r="E56" s="83"/>
      <c r="F56" s="83"/>
      <c r="G56" s="83"/>
      <c r="H56" s="83"/>
      <c r="I56" s="83"/>
      <c r="J56" s="83"/>
      <c r="K56" s="3"/>
      <c r="M56" s="8"/>
      <c r="O56" s="79"/>
      <c r="U56" s="8"/>
      <c r="Z56" s="66"/>
    </row>
    <row r="57" spans="1:26" ht="18" customHeight="1" x14ac:dyDescent="0.25">
      <c r="B57" s="84">
        <f>$B$59-($B$64*2)</f>
        <v>-0.1</v>
      </c>
      <c r="C57" s="17"/>
      <c r="D57" s="85">
        <f t="shared" ref="D57:J62" si="5">(($I$16*(1+D$55))-($I$47*(1+$B57)))/$E$4</f>
        <v>24.828353775000032</v>
      </c>
      <c r="E57" s="85">
        <f t="shared" si="5"/>
        <v>65.050703775000045</v>
      </c>
      <c r="F57" s="85">
        <f t="shared" si="5"/>
        <v>78.458153774999985</v>
      </c>
      <c r="G57" s="85">
        <f t="shared" si="5"/>
        <v>91.865603775000011</v>
      </c>
      <c r="H57" s="85">
        <f t="shared" si="5"/>
        <v>105.27305377500005</v>
      </c>
      <c r="I57" s="85">
        <f t="shared" si="5"/>
        <v>118.68050377500003</v>
      </c>
      <c r="J57" s="85">
        <f t="shared" si="5"/>
        <v>158.90285377500001</v>
      </c>
      <c r="K57" s="3"/>
      <c r="M57" s="8" t="s">
        <v>1</v>
      </c>
      <c r="O57" s="79" t="s">
        <v>1</v>
      </c>
      <c r="U57" s="8" t="s">
        <v>1</v>
      </c>
      <c r="Z57" s="66" t="s">
        <v>1</v>
      </c>
    </row>
    <row r="58" spans="1:26" x14ac:dyDescent="0.25">
      <c r="A58" s="34" t="s">
        <v>74</v>
      </c>
      <c r="B58" s="84">
        <f>$B$59-$B$64</f>
        <v>-0.05</v>
      </c>
      <c r="C58" s="17"/>
      <c r="D58" s="85">
        <f t="shared" si="5"/>
        <v>15.034831762500035</v>
      </c>
      <c r="E58" s="85">
        <f t="shared" si="5"/>
        <v>55.257181762500039</v>
      </c>
      <c r="F58" s="85">
        <f t="shared" si="5"/>
        <v>68.664631762499994</v>
      </c>
      <c r="G58" s="85">
        <f t="shared" si="5"/>
        <v>82.072081762500019</v>
      </c>
      <c r="H58" s="85">
        <f t="shared" si="5"/>
        <v>95.479531762500045</v>
      </c>
      <c r="I58" s="85">
        <f t="shared" si="5"/>
        <v>108.88698176250004</v>
      </c>
      <c r="J58" s="85">
        <f t="shared" si="5"/>
        <v>149.10933176250001</v>
      </c>
      <c r="K58" s="3"/>
      <c r="M58" s="8" t="s">
        <v>1</v>
      </c>
      <c r="O58" s="79" t="s">
        <v>1</v>
      </c>
      <c r="U58" s="8" t="s">
        <v>1</v>
      </c>
      <c r="Z58" s="66" t="s">
        <v>1</v>
      </c>
    </row>
    <row r="59" spans="1:26" x14ac:dyDescent="0.25">
      <c r="A59" s="34" t="s">
        <v>75</v>
      </c>
      <c r="B59" s="84">
        <v>0</v>
      </c>
      <c r="C59" s="17"/>
      <c r="D59" s="85">
        <f t="shared" si="5"/>
        <v>5.2413097500000365</v>
      </c>
      <c r="E59" s="85">
        <f t="shared" si="5"/>
        <v>45.463659750000041</v>
      </c>
      <c r="F59" s="85">
        <f t="shared" si="5"/>
        <v>58.871109749999995</v>
      </c>
      <c r="G59" s="86">
        <f t="shared" si="5"/>
        <v>72.278559750000028</v>
      </c>
      <c r="H59" s="85">
        <f t="shared" si="5"/>
        <v>85.686009750000053</v>
      </c>
      <c r="I59" s="85">
        <f t="shared" si="5"/>
        <v>99.093459750000036</v>
      </c>
      <c r="J59" s="85">
        <f t="shared" si="5"/>
        <v>139.31580975</v>
      </c>
      <c r="K59" s="3"/>
      <c r="M59" s="8" t="s">
        <v>1</v>
      </c>
      <c r="O59" s="79" t="s">
        <v>1</v>
      </c>
      <c r="U59" s="8" t="s">
        <v>1</v>
      </c>
      <c r="Z59" s="66" t="s">
        <v>1</v>
      </c>
    </row>
    <row r="60" spans="1:26" x14ac:dyDescent="0.25">
      <c r="A60" s="34" t="s">
        <v>76</v>
      </c>
      <c r="B60" s="84">
        <f>$B$59+$B$64</f>
        <v>0.05</v>
      </c>
      <c r="C60" s="17"/>
      <c r="D60" s="85">
        <f t="shared" si="5"/>
        <v>-4.5522122624999612</v>
      </c>
      <c r="E60" s="85">
        <f t="shared" si="5"/>
        <v>35.670137737500042</v>
      </c>
      <c r="F60" s="85">
        <f t="shared" si="5"/>
        <v>49.077587737499996</v>
      </c>
      <c r="G60" s="85">
        <f t="shared" si="5"/>
        <v>62.485037737500022</v>
      </c>
      <c r="H60" s="85">
        <f t="shared" si="5"/>
        <v>75.892487737500048</v>
      </c>
      <c r="I60" s="85">
        <f t="shared" si="5"/>
        <v>89.299937737500045</v>
      </c>
      <c r="J60" s="85">
        <f t="shared" si="5"/>
        <v>129.52228773750002</v>
      </c>
      <c r="K60" s="3"/>
      <c r="M60" s="8" t="s">
        <v>1</v>
      </c>
      <c r="O60" s="79" t="s">
        <v>1</v>
      </c>
      <c r="U60" s="8" t="s">
        <v>1</v>
      </c>
      <c r="Z60" s="66" t="s">
        <v>1</v>
      </c>
    </row>
    <row r="61" spans="1:26" x14ac:dyDescent="0.25">
      <c r="A61" s="34" t="s">
        <v>77</v>
      </c>
      <c r="B61" s="84">
        <f>$B$59+($B$64*2)</f>
        <v>0.1</v>
      </c>
      <c r="C61" s="17"/>
      <c r="D61" s="85">
        <f t="shared" si="5"/>
        <v>-14.345734274999995</v>
      </c>
      <c r="E61" s="85">
        <f t="shared" si="5"/>
        <v>25.876615725000011</v>
      </c>
      <c r="F61" s="85">
        <f t="shared" si="5"/>
        <v>39.284065724999962</v>
      </c>
      <c r="G61" s="85">
        <f t="shared" si="5"/>
        <v>52.691515724999988</v>
      </c>
      <c r="H61" s="85">
        <f t="shared" si="5"/>
        <v>66.098965725000014</v>
      </c>
      <c r="I61" s="85">
        <f t="shared" si="5"/>
        <v>79.506415725000011</v>
      </c>
      <c r="J61" s="85">
        <f t="shared" si="5"/>
        <v>119.72876572499997</v>
      </c>
      <c r="K61" s="3"/>
      <c r="M61" s="8" t="s">
        <v>1</v>
      </c>
      <c r="U61" s="8" t="s">
        <v>1</v>
      </c>
    </row>
    <row r="62" spans="1:26" x14ac:dyDescent="0.25">
      <c r="B62" s="84">
        <f>$B$59+($B$64*5)</f>
        <v>0.25</v>
      </c>
      <c r="C62" s="17"/>
      <c r="D62" s="85">
        <f t="shared" si="5"/>
        <v>-43.726300312499951</v>
      </c>
      <c r="E62" s="85">
        <f t="shared" si="5"/>
        <v>-3.5039503124999465</v>
      </c>
      <c r="F62" s="85">
        <f t="shared" si="5"/>
        <v>9.9034996875000072</v>
      </c>
      <c r="G62" s="85">
        <f t="shared" si="5"/>
        <v>23.310949687500035</v>
      </c>
      <c r="H62" s="85">
        <f t="shared" si="5"/>
        <v>36.71839968750006</v>
      </c>
      <c r="I62" s="85">
        <f t="shared" si="5"/>
        <v>50.12584968750005</v>
      </c>
      <c r="J62" s="85">
        <f t="shared" si="5"/>
        <v>90.348199687500014</v>
      </c>
      <c r="K62" s="3"/>
      <c r="M62" s="8" t="s">
        <v>1</v>
      </c>
      <c r="U62" s="8" t="s">
        <v>1</v>
      </c>
      <c r="Z62" s="66" t="s">
        <v>1</v>
      </c>
    </row>
    <row r="63" spans="1:26" ht="15" customHeight="1" x14ac:dyDescent="0.25">
      <c r="A63" s="87"/>
      <c r="B63" s="87"/>
      <c r="C63" s="87"/>
      <c r="D63" s="87"/>
      <c r="E63" s="87"/>
      <c r="F63" s="87"/>
      <c r="G63" s="87"/>
      <c r="H63" s="87"/>
      <c r="I63" s="87"/>
      <c r="J63" s="87"/>
      <c r="K63" s="3"/>
      <c r="M63" s="8"/>
      <c r="U63" s="8"/>
      <c r="Z63" s="66"/>
    </row>
    <row r="64" spans="1:26" ht="15" customHeight="1" x14ac:dyDescent="0.25">
      <c r="B64" s="88">
        <v>0.05</v>
      </c>
      <c r="C64" s="89" t="s">
        <v>78</v>
      </c>
      <c r="E64" s="90"/>
      <c r="F64" s="90"/>
      <c r="G64" s="90"/>
      <c r="H64" s="90"/>
      <c r="I64" s="90"/>
      <c r="J64" s="90"/>
      <c r="K64" s="3"/>
      <c r="M64" s="8"/>
      <c r="U64" s="8"/>
      <c r="Z64" s="66"/>
    </row>
    <row r="65" spans="1:26" ht="15" customHeight="1" thickBot="1" x14ac:dyDescent="0.3">
      <c r="A65" s="91"/>
      <c r="B65" s="92"/>
      <c r="C65" s="93"/>
      <c r="D65" s="94"/>
      <c r="E65" s="94"/>
      <c r="F65" s="94"/>
      <c r="G65" s="94"/>
      <c r="H65" s="94"/>
      <c r="I65" s="94"/>
      <c r="J65" s="94"/>
      <c r="K65" s="3"/>
      <c r="M65" s="8"/>
      <c r="U65" s="8"/>
      <c r="Z65" s="66"/>
    </row>
    <row r="66" spans="1:26" ht="16.5" customHeight="1" thickTop="1" x14ac:dyDescent="0.25">
      <c r="A66" s="95" t="s">
        <v>79</v>
      </c>
      <c r="B66" s="96"/>
      <c r="C66" s="96"/>
      <c r="D66" s="96"/>
      <c r="E66" s="96"/>
      <c r="F66" s="96"/>
      <c r="G66" s="96"/>
      <c r="H66" s="96"/>
      <c r="I66" s="96"/>
      <c r="J66" s="96"/>
      <c r="K66" s="3"/>
      <c r="L66" s="43" t="s">
        <v>1</v>
      </c>
      <c r="M66" s="8" t="s">
        <v>1</v>
      </c>
      <c r="N66" s="43" t="s">
        <v>1</v>
      </c>
      <c r="U66" s="8" t="s">
        <v>1</v>
      </c>
    </row>
    <row r="67" spans="1:26" ht="16.5" customHeight="1" x14ac:dyDescent="0.25">
      <c r="A67" s="35"/>
      <c r="B67" s="17"/>
      <c r="C67" s="33"/>
      <c r="D67" s="17"/>
      <c r="E67" s="40"/>
      <c r="F67" s="34"/>
      <c r="G67" s="17"/>
      <c r="H67" s="40"/>
      <c r="I67" s="17"/>
      <c r="J67" s="35"/>
      <c r="K67" s="3"/>
      <c r="L67" s="43"/>
      <c r="M67" s="8"/>
      <c r="N67" s="43"/>
      <c r="U67" s="8"/>
    </row>
    <row r="68" spans="1:26" ht="18.75" customHeight="1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3"/>
      <c r="L68" s="43" t="s">
        <v>1</v>
      </c>
      <c r="M68" s="8" t="s">
        <v>1</v>
      </c>
      <c r="N68" s="43" t="s">
        <v>1</v>
      </c>
      <c r="U68" s="8" t="s">
        <v>1</v>
      </c>
      <c r="Z68" s="66" t="s">
        <v>1</v>
      </c>
    </row>
    <row r="69" spans="1:26" ht="21" customHeight="1" x14ac:dyDescent="0.3">
      <c r="A69" s="97" t="str">
        <f>A3</f>
        <v>Sheep Production</v>
      </c>
      <c r="B69" s="98"/>
      <c r="C69" s="98"/>
      <c r="D69" s="98"/>
      <c r="E69" s="99"/>
      <c r="F69" s="99"/>
      <c r="G69" s="100"/>
      <c r="H69" s="100"/>
      <c r="I69" s="100"/>
      <c r="J69" s="101" t="s">
        <v>80</v>
      </c>
      <c r="K69" s="3"/>
      <c r="M69" s="8" t="s">
        <v>1</v>
      </c>
      <c r="U69" s="8" t="s">
        <v>1</v>
      </c>
    </row>
    <row r="70" spans="1:26" ht="21" customHeight="1" x14ac:dyDescent="0.3">
      <c r="A70" s="13" t="s">
        <v>81</v>
      </c>
      <c r="B70" s="17"/>
      <c r="C70" s="33"/>
      <c r="D70" s="102" t="s">
        <v>82</v>
      </c>
      <c r="E70" s="103"/>
      <c r="F70" s="103"/>
      <c r="G70" s="103"/>
      <c r="H70" s="104"/>
      <c r="I70" s="105" t="s">
        <v>83</v>
      </c>
      <c r="J70" s="104" t="s">
        <v>84</v>
      </c>
      <c r="K70" s="3"/>
      <c r="L70" s="106" t="s">
        <v>84</v>
      </c>
      <c r="M70" s="8" t="s">
        <v>1</v>
      </c>
      <c r="U70" s="8" t="s">
        <v>1</v>
      </c>
    </row>
    <row r="71" spans="1:26" ht="26.4" x14ac:dyDescent="0.25">
      <c r="A71" s="107" t="s">
        <v>85</v>
      </c>
      <c r="B71" s="17"/>
      <c r="C71" s="33"/>
      <c r="D71" s="104" t="s">
        <v>86</v>
      </c>
      <c r="E71" s="104" t="s">
        <v>87</v>
      </c>
      <c r="F71" s="104" t="s">
        <v>88</v>
      </c>
      <c r="G71" s="183" t="s">
        <v>163</v>
      </c>
      <c r="H71" s="183" t="s">
        <v>164</v>
      </c>
      <c r="I71" s="105" t="s">
        <v>91</v>
      </c>
      <c r="J71" s="108" t="s">
        <v>92</v>
      </c>
      <c r="K71" s="109" t="s">
        <v>93</v>
      </c>
      <c r="L71" s="106" t="s">
        <v>94</v>
      </c>
      <c r="M71" s="8" t="s">
        <v>1</v>
      </c>
      <c r="U71" s="8" t="s">
        <v>1</v>
      </c>
    </row>
    <row r="72" spans="1:26" x14ac:dyDescent="0.25">
      <c r="A72" s="46"/>
      <c r="B72" s="110" t="s">
        <v>95</v>
      </c>
      <c r="C72" s="111"/>
      <c r="D72" s="42">
        <f>E4</f>
        <v>100</v>
      </c>
      <c r="E72" s="42">
        <f>E4</f>
        <v>100</v>
      </c>
      <c r="F72" s="42">
        <f>E4</f>
        <v>100</v>
      </c>
      <c r="G72" s="36">
        <f>E4</f>
        <v>100</v>
      </c>
      <c r="H72" s="42">
        <f>E4</f>
        <v>100</v>
      </c>
      <c r="I72" s="112">
        <f>(E4*A7)+(E4*A5*A6*0.2)</f>
        <v>161</v>
      </c>
      <c r="J72" s="42">
        <f>E4*A7*G5</f>
        <v>157.5</v>
      </c>
      <c r="K72" s="109" t="s">
        <v>96</v>
      </c>
      <c r="L72" s="106" t="s">
        <v>97</v>
      </c>
      <c r="M72" s="8" t="s">
        <v>1</v>
      </c>
      <c r="U72" s="8" t="s">
        <v>1</v>
      </c>
    </row>
    <row r="73" spans="1:26" x14ac:dyDescent="0.25">
      <c r="A73" s="113" t="s">
        <v>98</v>
      </c>
      <c r="B73" s="114" t="s">
        <v>99</v>
      </c>
      <c r="C73" s="115"/>
      <c r="D73" s="116">
        <v>100</v>
      </c>
      <c r="E73" s="116">
        <v>19</v>
      </c>
      <c r="F73" s="116">
        <v>45</v>
      </c>
      <c r="G73" s="116">
        <v>30</v>
      </c>
      <c r="H73" s="116">
        <v>171</v>
      </c>
      <c r="I73" s="116">
        <v>61</v>
      </c>
      <c r="J73" s="117">
        <f>((D11*100)-G6)/E7</f>
        <v>50</v>
      </c>
      <c r="K73" s="118" t="s">
        <v>100</v>
      </c>
      <c r="L73" s="106" t="s">
        <v>74</v>
      </c>
      <c r="M73" s="8" t="s">
        <v>1</v>
      </c>
      <c r="U73" s="8" t="s">
        <v>1</v>
      </c>
      <c r="Z73" s="66" t="s">
        <v>1</v>
      </c>
    </row>
    <row r="74" spans="1:26" x14ac:dyDescent="0.25">
      <c r="A74" s="46"/>
      <c r="B74" s="35"/>
      <c r="C74" s="119" t="s">
        <v>101</v>
      </c>
      <c r="D74" s="120"/>
      <c r="E74" s="120"/>
      <c r="F74" s="120"/>
      <c r="G74" s="120"/>
      <c r="H74" s="120"/>
      <c r="I74" s="120"/>
      <c r="J74" s="120"/>
      <c r="K74" s="121"/>
      <c r="M74" s="8" t="s">
        <v>1</v>
      </c>
      <c r="U74" s="8" t="s">
        <v>1</v>
      </c>
      <c r="Z74" s="66" t="s">
        <v>1</v>
      </c>
    </row>
    <row r="75" spans="1:26" ht="15.6" x14ac:dyDescent="0.3">
      <c r="A75" s="122" t="s">
        <v>102</v>
      </c>
      <c r="B75" s="123" t="s">
        <v>103</v>
      </c>
      <c r="C75" s="124"/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40">
        <f t="shared" ref="J75:J82" si="6">IF($J$73&lt;1,0,((($D$11*100)-$G$6)*$G$7/$J$73)*$L75)</f>
        <v>0</v>
      </c>
      <c r="K75" s="125">
        <f>(($D$72*$D$73*D75)+($E$72*$E$73*E75)+($F$72*$F$73*F75)+($G$72*$G$73*G75)+($H$72*$H$73*H75)+($I$72*$I$73*I75)+($J$72*$J$73*J75))/2000</f>
        <v>0</v>
      </c>
      <c r="L75" s="126">
        <v>0</v>
      </c>
      <c r="M75" s="8"/>
      <c r="U75" s="8"/>
      <c r="Z75" s="66"/>
    </row>
    <row r="76" spans="1:26" ht="15.6" x14ac:dyDescent="0.3">
      <c r="A76" s="122" t="s">
        <v>104</v>
      </c>
      <c r="B76" s="123" t="s">
        <v>103</v>
      </c>
      <c r="C76" s="124"/>
      <c r="D76" s="38">
        <v>0</v>
      </c>
      <c r="E76" s="38">
        <v>0</v>
      </c>
      <c r="F76" s="38">
        <v>2</v>
      </c>
      <c r="G76" s="38">
        <v>1</v>
      </c>
      <c r="H76" s="38">
        <v>0</v>
      </c>
      <c r="I76" s="38">
        <v>0</v>
      </c>
      <c r="J76" s="40">
        <f t="shared" si="6"/>
        <v>0</v>
      </c>
      <c r="K76" s="125">
        <f>(($D$72*$D$73*D76)+($E$72*$E$73*E76)+($F$72*$F$73*F76)+($G$72*$G$73*G76)+($H$72*$H$73*H76)+($I$72*$I$73*I76)+($J$72*$J$73*J76))/2000</f>
        <v>6</v>
      </c>
      <c r="L76" s="126">
        <v>0</v>
      </c>
      <c r="M76" s="8"/>
      <c r="U76" s="8"/>
      <c r="Z76" s="66"/>
    </row>
    <row r="77" spans="1:26" ht="15.6" x14ac:dyDescent="0.3">
      <c r="A77" s="122" t="s">
        <v>105</v>
      </c>
      <c r="B77" s="123" t="s">
        <v>103</v>
      </c>
      <c r="C77" s="124"/>
      <c r="D77" s="38">
        <v>0</v>
      </c>
      <c r="E77" s="38">
        <v>0</v>
      </c>
      <c r="F77" s="38">
        <v>0</v>
      </c>
      <c r="G77" s="38">
        <v>0</v>
      </c>
      <c r="H77" s="38">
        <v>0</v>
      </c>
      <c r="I77" s="38">
        <v>0</v>
      </c>
      <c r="J77" s="40">
        <f t="shared" si="6"/>
        <v>0</v>
      </c>
      <c r="K77" s="125">
        <f t="shared" ref="K76:K82" si="7">(($D$72*$D$73*D77)+($E$72*$E$73*E77)+($F$72*$F$73*F77)+($G$72*$G$73*G77)+($H$72*$H$73*H77)+($I$72*$I$73*I77)+($J$72*$J$73*J77))/2000</f>
        <v>0</v>
      </c>
      <c r="L77" s="126">
        <v>0</v>
      </c>
    </row>
    <row r="78" spans="1:26" ht="15" customHeight="1" x14ac:dyDescent="0.3">
      <c r="A78" s="122" t="s">
        <v>106</v>
      </c>
      <c r="B78" s="123" t="s">
        <v>103</v>
      </c>
      <c r="C78" s="124"/>
      <c r="D78" s="38">
        <v>0</v>
      </c>
      <c r="E78" s="38">
        <v>0</v>
      </c>
      <c r="F78" s="38">
        <v>0</v>
      </c>
      <c r="G78" s="38">
        <v>0</v>
      </c>
      <c r="H78" s="38">
        <v>0</v>
      </c>
      <c r="I78" s="38">
        <v>1</v>
      </c>
      <c r="J78" s="40">
        <f t="shared" si="6"/>
        <v>0</v>
      </c>
      <c r="K78" s="125">
        <f t="shared" si="7"/>
        <v>4.9104999999999999</v>
      </c>
      <c r="L78" s="127">
        <v>0</v>
      </c>
      <c r="M78" s="8" t="s">
        <v>1</v>
      </c>
      <c r="N78" s="43" t="s">
        <v>1</v>
      </c>
      <c r="U78" s="8" t="s">
        <v>1</v>
      </c>
      <c r="Z78" s="66" t="s">
        <v>1</v>
      </c>
    </row>
    <row r="79" spans="1:26" ht="15.6" x14ac:dyDescent="0.3">
      <c r="A79" s="128" t="s">
        <v>107</v>
      </c>
      <c r="B79" s="123" t="s">
        <v>103</v>
      </c>
      <c r="C79" s="124">
        <v>56</v>
      </c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40">
        <f t="shared" si="6"/>
        <v>0</v>
      </c>
      <c r="K79" s="125">
        <f t="shared" si="7"/>
        <v>0</v>
      </c>
      <c r="L79" s="126">
        <v>0</v>
      </c>
    </row>
    <row r="80" spans="1:26" ht="15" customHeight="1" x14ac:dyDescent="0.3">
      <c r="A80" s="122" t="s">
        <v>108</v>
      </c>
      <c r="B80" s="123" t="s">
        <v>103</v>
      </c>
      <c r="C80" s="124"/>
      <c r="D80" s="38">
        <v>0</v>
      </c>
      <c r="E80" s="38">
        <v>1.5</v>
      </c>
      <c r="F80" s="38">
        <v>2</v>
      </c>
      <c r="G80" s="38">
        <v>3</v>
      </c>
      <c r="H80" s="38">
        <v>0</v>
      </c>
      <c r="I80" s="38">
        <v>0</v>
      </c>
      <c r="J80" s="40">
        <f t="shared" si="6"/>
        <v>2.0999999999999996</v>
      </c>
      <c r="K80" s="125">
        <f t="shared" si="7"/>
        <v>18.693750000000001</v>
      </c>
      <c r="L80" s="126">
        <v>0.7</v>
      </c>
      <c r="M80" s="8" t="s">
        <v>1</v>
      </c>
      <c r="U80" s="8" t="s">
        <v>1</v>
      </c>
    </row>
    <row r="81" spans="1:26" ht="15.6" x14ac:dyDescent="0.3">
      <c r="A81" s="122" t="s">
        <v>162</v>
      </c>
      <c r="B81" s="123" t="s">
        <v>103</v>
      </c>
      <c r="C81" s="124"/>
      <c r="D81" s="38">
        <v>4</v>
      </c>
      <c r="E81" s="38">
        <v>3</v>
      </c>
      <c r="F81" s="38">
        <v>0</v>
      </c>
      <c r="G81" s="38">
        <v>1</v>
      </c>
      <c r="H81" s="38">
        <v>4</v>
      </c>
      <c r="I81" s="38">
        <v>0.5</v>
      </c>
      <c r="J81" s="40">
        <f t="shared" si="6"/>
        <v>0.89999999999999991</v>
      </c>
      <c r="K81" s="125">
        <f t="shared" si="7"/>
        <v>64.549000000000007</v>
      </c>
      <c r="L81" s="126">
        <v>0.3</v>
      </c>
      <c r="M81" s="8" t="s">
        <v>1</v>
      </c>
      <c r="N81" s="43" t="s">
        <v>1</v>
      </c>
      <c r="U81" s="8" t="s">
        <v>1</v>
      </c>
    </row>
    <row r="82" spans="1:26" ht="15.6" x14ac:dyDescent="0.3">
      <c r="A82" s="122" t="s">
        <v>109</v>
      </c>
      <c r="B82" s="123" t="s">
        <v>103</v>
      </c>
      <c r="C82" s="124">
        <v>100</v>
      </c>
      <c r="D82" s="38">
        <v>0</v>
      </c>
      <c r="E82" s="38">
        <v>0</v>
      </c>
      <c r="F82" s="38">
        <v>0</v>
      </c>
      <c r="G82" s="38">
        <v>0</v>
      </c>
      <c r="H82" s="38">
        <v>0</v>
      </c>
      <c r="I82" s="38">
        <v>0</v>
      </c>
      <c r="J82" s="40">
        <f t="shared" si="6"/>
        <v>0</v>
      </c>
      <c r="K82" s="125">
        <f t="shared" si="7"/>
        <v>0</v>
      </c>
      <c r="L82" s="129">
        <v>0</v>
      </c>
      <c r="M82" s="8" t="s">
        <v>1</v>
      </c>
      <c r="N82" s="43" t="s">
        <v>1</v>
      </c>
      <c r="U82" s="8" t="s">
        <v>1</v>
      </c>
    </row>
    <row r="83" spans="1:26" ht="15.6" thickBot="1" x14ac:dyDescent="0.3">
      <c r="A83" s="130"/>
      <c r="B83" s="130"/>
      <c r="C83" s="130"/>
      <c r="D83" s="130"/>
      <c r="E83" s="130"/>
      <c r="F83" s="130"/>
      <c r="G83" s="130"/>
      <c r="H83" s="130"/>
      <c r="I83" s="130"/>
      <c r="J83" s="130"/>
      <c r="K83" s="131"/>
      <c r="L83" s="129">
        <f>SUM(L74:L82)</f>
        <v>1</v>
      </c>
      <c r="M83" s="8" t="s">
        <v>1</v>
      </c>
      <c r="U83" s="8" t="s">
        <v>1</v>
      </c>
    </row>
    <row r="84" spans="1:26" ht="21" customHeight="1" thickTop="1" x14ac:dyDescent="0.3">
      <c r="A84" s="13" t="s">
        <v>110</v>
      </c>
      <c r="B84" s="17"/>
      <c r="C84" s="104"/>
      <c r="D84" s="104" t="s">
        <v>111</v>
      </c>
      <c r="E84" s="132"/>
      <c r="F84" s="34" t="s">
        <v>74</v>
      </c>
      <c r="G84" s="104"/>
      <c r="H84" s="34" t="s">
        <v>112</v>
      </c>
      <c r="I84" s="34" t="s">
        <v>74</v>
      </c>
      <c r="J84" s="104" t="s">
        <v>113</v>
      </c>
      <c r="K84" s="3"/>
      <c r="M84" s="8" t="s">
        <v>1</v>
      </c>
      <c r="U84" s="8" t="s">
        <v>1</v>
      </c>
      <c r="Z84" s="66" t="s">
        <v>1</v>
      </c>
    </row>
    <row r="85" spans="1:26" x14ac:dyDescent="0.25">
      <c r="A85" s="133" t="s">
        <v>114</v>
      </c>
      <c r="B85" s="134"/>
      <c r="C85" s="135"/>
      <c r="D85" s="135" t="s">
        <v>115</v>
      </c>
      <c r="E85" s="135"/>
      <c r="F85" s="136" t="s">
        <v>116</v>
      </c>
      <c r="G85" s="135"/>
      <c r="H85" s="136" t="s">
        <v>117</v>
      </c>
      <c r="I85" s="136" t="s">
        <v>118</v>
      </c>
      <c r="J85" s="135" t="s">
        <v>119</v>
      </c>
      <c r="K85" s="3"/>
      <c r="M85" s="8" t="s">
        <v>1</v>
      </c>
      <c r="U85" s="8" t="s">
        <v>1</v>
      </c>
    </row>
    <row r="86" spans="1:26" ht="12" customHeight="1" x14ac:dyDescent="0.25">
      <c r="A86" s="137"/>
      <c r="B86" s="137"/>
      <c r="C86" s="137"/>
      <c r="D86" s="137"/>
      <c r="E86" s="137"/>
      <c r="F86" s="34"/>
      <c r="G86" s="137"/>
      <c r="H86" s="34"/>
      <c r="I86" s="34"/>
      <c r="J86" s="137"/>
      <c r="K86" s="3"/>
      <c r="M86" s="8" t="s">
        <v>1</v>
      </c>
      <c r="U86" s="8" t="s">
        <v>1</v>
      </c>
      <c r="Z86" s="66" t="s">
        <v>1</v>
      </c>
    </row>
    <row r="87" spans="1:26" x14ac:dyDescent="0.25">
      <c r="A87" s="122" t="s">
        <v>120</v>
      </c>
      <c r="B87" s="46"/>
      <c r="C87" s="17"/>
      <c r="D87" s="138">
        <v>0</v>
      </c>
      <c r="E87" s="46"/>
      <c r="F87" s="139">
        <v>0.05</v>
      </c>
      <c r="G87" s="46"/>
      <c r="H87" s="140">
        <v>8</v>
      </c>
      <c r="I87" s="141">
        <v>1</v>
      </c>
      <c r="J87" s="41">
        <f>(IF(H87&gt;0,PMT(F87,H87,-D87),0))*(I87)</f>
        <v>0</v>
      </c>
      <c r="K87" s="142"/>
      <c r="L87" s="43" t="s">
        <v>1</v>
      </c>
      <c r="M87" s="8" t="s">
        <v>1</v>
      </c>
      <c r="N87" s="43" t="s">
        <v>1</v>
      </c>
      <c r="U87" s="8" t="s">
        <v>1</v>
      </c>
      <c r="Z87" s="66" t="s">
        <v>1</v>
      </c>
    </row>
    <row r="88" spans="1:26" x14ac:dyDescent="0.25">
      <c r="A88" s="122" t="s">
        <v>121</v>
      </c>
      <c r="B88" s="46"/>
      <c r="C88" s="17"/>
      <c r="D88" s="138">
        <v>0</v>
      </c>
      <c r="E88" s="46"/>
      <c r="F88" s="139">
        <v>0</v>
      </c>
      <c r="G88" s="46"/>
      <c r="H88" s="140">
        <v>0</v>
      </c>
      <c r="I88" s="141">
        <v>1</v>
      </c>
      <c r="J88" s="41">
        <f>(IF(H88&gt;0,PMT(F88,H88,-D88),0))*(I88)</f>
        <v>0</v>
      </c>
      <c r="K88" s="142"/>
    </row>
    <row r="89" spans="1:26" x14ac:dyDescent="0.25">
      <c r="A89" s="122" t="s">
        <v>121</v>
      </c>
      <c r="B89" s="46"/>
      <c r="C89" s="17"/>
      <c r="D89" s="138">
        <v>0</v>
      </c>
      <c r="E89" s="46"/>
      <c r="F89" s="139">
        <v>0</v>
      </c>
      <c r="G89" s="46"/>
      <c r="H89" s="140">
        <v>0</v>
      </c>
      <c r="I89" s="141">
        <v>1</v>
      </c>
      <c r="J89" s="41">
        <f>(IF(H89&gt;0,PMT(F89,H89,-D89),0))*(I89)</f>
        <v>0</v>
      </c>
      <c r="K89" s="142"/>
    </row>
    <row r="90" spans="1:26" ht="15" customHeight="1" x14ac:dyDescent="0.25">
      <c r="A90" s="143"/>
      <c r="B90" s="143"/>
      <c r="C90" s="143"/>
      <c r="D90" s="143"/>
      <c r="E90" s="143"/>
      <c r="F90" s="143"/>
      <c r="G90" s="143"/>
      <c r="H90" s="143"/>
      <c r="I90" s="143"/>
      <c r="J90" s="144"/>
      <c r="K90" s="142"/>
      <c r="M90" s="8" t="s">
        <v>1</v>
      </c>
      <c r="U90" s="8" t="s">
        <v>1</v>
      </c>
      <c r="Z90" s="66" t="s">
        <v>1</v>
      </c>
    </row>
    <row r="91" spans="1:26" ht="15.6" thickBot="1" x14ac:dyDescent="0.3">
      <c r="A91" s="145"/>
      <c r="B91" s="145"/>
      <c r="C91" s="146"/>
      <c r="D91" s="147"/>
      <c r="E91" s="145"/>
      <c r="F91" s="148" t="s">
        <v>122</v>
      </c>
      <c r="G91" s="149"/>
      <c r="H91" s="149"/>
      <c r="I91" s="150"/>
      <c r="J91" s="151">
        <f>SUM(J86:J90)</f>
        <v>0</v>
      </c>
      <c r="K91" s="142"/>
      <c r="M91" s="8" t="s">
        <v>1</v>
      </c>
      <c r="U91" s="8" t="s">
        <v>1</v>
      </c>
      <c r="Z91" s="66" t="s">
        <v>1</v>
      </c>
    </row>
    <row r="92" spans="1:26" ht="21" customHeight="1" thickTop="1" x14ac:dyDescent="0.3">
      <c r="A92" s="13" t="s">
        <v>123</v>
      </c>
      <c r="B92" s="152"/>
      <c r="D92" s="153"/>
      <c r="E92" s="17"/>
      <c r="F92" s="17"/>
      <c r="G92" s="17"/>
      <c r="H92" s="17"/>
      <c r="I92" s="17"/>
      <c r="J92" s="17"/>
      <c r="K92" s="3"/>
      <c r="M92" s="8" t="s">
        <v>1</v>
      </c>
      <c r="U92" s="8" t="s">
        <v>1</v>
      </c>
    </row>
    <row r="93" spans="1:26" ht="24" customHeight="1" x14ac:dyDescent="0.25">
      <c r="A93" s="25">
        <f>E4</f>
        <v>100</v>
      </c>
      <c r="B93" s="15" t="s">
        <v>2</v>
      </c>
      <c r="C93" s="45"/>
      <c r="D93" s="25">
        <f>E5</f>
        <v>4</v>
      </c>
      <c r="E93" s="15" t="s">
        <v>4</v>
      </c>
      <c r="F93" s="17"/>
      <c r="G93" s="17"/>
      <c r="H93" s="17"/>
      <c r="I93" s="17"/>
      <c r="J93" s="17"/>
      <c r="K93" s="154"/>
      <c r="M93" s="8" t="s">
        <v>1</v>
      </c>
      <c r="O93" s="79" t="s">
        <v>1</v>
      </c>
      <c r="U93" s="8" t="s">
        <v>1</v>
      </c>
      <c r="Z93" s="66" t="s">
        <v>1</v>
      </c>
    </row>
    <row r="94" spans="1:26" x14ac:dyDescent="0.25">
      <c r="A94" s="122" t="s">
        <v>124</v>
      </c>
      <c r="B94" s="155">
        <v>150</v>
      </c>
      <c r="C94" s="46" t="s">
        <v>125</v>
      </c>
      <c r="D94" s="120">
        <v>6</v>
      </c>
      <c r="E94" s="35" t="s">
        <v>126</v>
      </c>
      <c r="F94" s="51">
        <f>67.75/960*1000</f>
        <v>70.572916666666671</v>
      </c>
      <c r="G94" s="35" t="s">
        <v>127</v>
      </c>
      <c r="H94" s="17"/>
      <c r="I94" s="41">
        <f>(B94/26*D94*3)*(F94/1000)</f>
        <v>7.3287259615384608</v>
      </c>
      <c r="J94" s="41"/>
      <c r="K94" s="154"/>
      <c r="M94" s="156"/>
      <c r="U94" s="8"/>
      <c r="Z94" s="66" t="s">
        <v>1</v>
      </c>
    </row>
    <row r="95" spans="1:26" x14ac:dyDescent="0.25">
      <c r="A95" s="122" t="s">
        <v>128</v>
      </c>
      <c r="B95" s="155">
        <v>5</v>
      </c>
      <c r="C95" s="46" t="s">
        <v>129</v>
      </c>
      <c r="D95" s="120">
        <v>1</v>
      </c>
      <c r="E95" s="35" t="s">
        <v>130</v>
      </c>
      <c r="F95" s="51">
        <v>0.55000000000000004</v>
      </c>
      <c r="G95" s="35" t="s">
        <v>131</v>
      </c>
      <c r="H95" s="17"/>
      <c r="I95" s="41">
        <f>(D95*F95)</f>
        <v>0.55000000000000004</v>
      </c>
      <c r="J95" s="41"/>
      <c r="K95" s="154"/>
      <c r="M95" s="156"/>
      <c r="U95" s="8"/>
      <c r="Z95" s="66" t="s">
        <v>1</v>
      </c>
    </row>
    <row r="96" spans="1:26" x14ac:dyDescent="0.25">
      <c r="A96" s="122" t="s">
        <v>132</v>
      </c>
      <c r="B96" s="155">
        <v>2</v>
      </c>
      <c r="C96" s="46" t="s">
        <v>129</v>
      </c>
      <c r="D96" s="120">
        <v>1</v>
      </c>
      <c r="E96" s="35" t="s">
        <v>130</v>
      </c>
      <c r="F96" s="51">
        <v>0.21</v>
      </c>
      <c r="G96" s="35" t="s">
        <v>131</v>
      </c>
      <c r="H96" s="17"/>
      <c r="I96" s="41">
        <f>(D96*F96)</f>
        <v>0.21</v>
      </c>
      <c r="J96" s="41"/>
      <c r="K96" s="154"/>
      <c r="M96" s="156"/>
      <c r="U96" s="8"/>
      <c r="Z96" s="66" t="s">
        <v>1</v>
      </c>
    </row>
    <row r="97" spans="1:26" x14ac:dyDescent="0.25">
      <c r="A97" s="122" t="s">
        <v>133</v>
      </c>
      <c r="B97" s="157"/>
      <c r="C97" s="46"/>
      <c r="D97" s="120"/>
      <c r="E97" s="35" t="s">
        <v>130</v>
      </c>
      <c r="F97" s="51"/>
      <c r="G97" s="35" t="s">
        <v>131</v>
      </c>
      <c r="H97" s="17"/>
      <c r="I97" s="41">
        <f>(D97*F97)</f>
        <v>0</v>
      </c>
      <c r="J97" s="41"/>
      <c r="K97" s="154"/>
      <c r="M97" s="156"/>
      <c r="U97" s="8"/>
      <c r="Z97" s="66" t="s">
        <v>1</v>
      </c>
    </row>
    <row r="98" spans="1:26" x14ac:dyDescent="0.25">
      <c r="A98" s="122" t="s">
        <v>133</v>
      </c>
      <c r="B98" s="157"/>
      <c r="C98" s="46"/>
      <c r="D98" s="120"/>
      <c r="E98" s="35" t="s">
        <v>130</v>
      </c>
      <c r="F98" s="51"/>
      <c r="G98" s="35" t="s">
        <v>131</v>
      </c>
      <c r="H98" s="17"/>
      <c r="I98" s="41">
        <f>(D98*F98)</f>
        <v>0</v>
      </c>
      <c r="J98" s="41"/>
      <c r="K98" s="154"/>
      <c r="M98" s="156"/>
      <c r="U98" s="8"/>
      <c r="Z98" s="66" t="s">
        <v>1</v>
      </c>
    </row>
    <row r="99" spans="1:26" x14ac:dyDescent="0.25">
      <c r="A99" s="122" t="s">
        <v>133</v>
      </c>
      <c r="B99" s="157"/>
      <c r="C99" s="46"/>
      <c r="D99" s="120"/>
      <c r="E99" s="35" t="s">
        <v>130</v>
      </c>
      <c r="F99" s="51"/>
      <c r="G99" s="35" t="s">
        <v>131</v>
      </c>
      <c r="H99" s="17"/>
      <c r="I99" s="41">
        <f>(D99*F99)</f>
        <v>0</v>
      </c>
      <c r="J99" s="41"/>
      <c r="K99" s="154"/>
      <c r="M99" s="156"/>
      <c r="U99" s="8"/>
      <c r="Z99" s="66" t="s">
        <v>1</v>
      </c>
    </row>
    <row r="100" spans="1:26" ht="16.05" customHeight="1" x14ac:dyDescent="0.25">
      <c r="A100" s="134"/>
      <c r="B100" s="133" t="s">
        <v>134</v>
      </c>
      <c r="C100" s="87"/>
      <c r="D100" s="134"/>
      <c r="E100" s="134"/>
      <c r="F100" s="158"/>
      <c r="G100" s="134"/>
      <c r="H100" s="134"/>
      <c r="I100" s="134"/>
      <c r="J100" s="41">
        <f>ROUND(SUM(I94:I99)*(A93+D93),2)</f>
        <v>841.23</v>
      </c>
      <c r="K100" s="154"/>
      <c r="M100"/>
      <c r="Z100" s="66"/>
    </row>
    <row r="101" spans="1:26" ht="24" customHeight="1" x14ac:dyDescent="0.25">
      <c r="A101" s="25">
        <f>ROUND(((E4*A7)+(E4*A5*A6/2)+0.25),0)</f>
        <v>167</v>
      </c>
      <c r="B101" s="15" t="s">
        <v>135</v>
      </c>
      <c r="C101" s="17"/>
      <c r="D101" s="17"/>
      <c r="E101" s="17"/>
      <c r="F101" s="159"/>
      <c r="G101" s="17"/>
      <c r="H101" s="17"/>
      <c r="I101" s="41"/>
      <c r="J101" s="41"/>
      <c r="K101" s="3"/>
    </row>
    <row r="102" spans="1:26" x14ac:dyDescent="0.25">
      <c r="A102" s="122" t="s">
        <v>124</v>
      </c>
      <c r="B102" s="155">
        <v>78</v>
      </c>
      <c r="C102" s="46" t="s">
        <v>125</v>
      </c>
      <c r="D102" s="120">
        <v>3</v>
      </c>
      <c r="E102" s="35" t="s">
        <v>126</v>
      </c>
      <c r="F102" s="51">
        <f>67.75/960*1000</f>
        <v>70.572916666666671</v>
      </c>
      <c r="G102" s="35" t="s">
        <v>127</v>
      </c>
      <c r="H102" s="17"/>
      <c r="I102" s="41">
        <f>(B102/26*D102*3)*(F102/1000)</f>
        <v>1.90546875</v>
      </c>
      <c r="J102" s="41"/>
      <c r="K102" s="154"/>
      <c r="M102" s="156"/>
      <c r="U102" s="8"/>
      <c r="Z102" s="66" t="s">
        <v>1</v>
      </c>
    </row>
    <row r="103" spans="1:26" x14ac:dyDescent="0.25">
      <c r="A103" s="122" t="s">
        <v>136</v>
      </c>
      <c r="B103" s="160">
        <v>0.5</v>
      </c>
      <c r="C103" s="46" t="s">
        <v>129</v>
      </c>
      <c r="D103" s="120">
        <v>1</v>
      </c>
      <c r="E103" s="35" t="s">
        <v>130</v>
      </c>
      <c r="F103" s="51">
        <v>0.49</v>
      </c>
      <c r="G103" s="35" t="s">
        <v>131</v>
      </c>
      <c r="H103" s="17"/>
      <c r="I103" s="41">
        <f>D103*F103</f>
        <v>0.49</v>
      </c>
      <c r="J103" s="41"/>
      <c r="K103" s="3"/>
      <c r="O103" s="8"/>
      <c r="Z103" s="66" t="s">
        <v>1</v>
      </c>
    </row>
    <row r="104" spans="1:26" x14ac:dyDescent="0.25">
      <c r="A104" s="122" t="s">
        <v>137</v>
      </c>
      <c r="B104" s="155">
        <v>5</v>
      </c>
      <c r="C104" s="46" t="s">
        <v>129</v>
      </c>
      <c r="D104" s="120">
        <v>1</v>
      </c>
      <c r="E104" s="35" t="s">
        <v>130</v>
      </c>
      <c r="F104" s="51">
        <v>0.52</v>
      </c>
      <c r="G104" s="35" t="s">
        <v>131</v>
      </c>
      <c r="H104" s="17"/>
      <c r="I104" s="41">
        <f>D104*F104</f>
        <v>0.52</v>
      </c>
      <c r="J104" s="41"/>
      <c r="K104" s="3"/>
      <c r="M104" s="8" t="s">
        <v>1</v>
      </c>
      <c r="U104" s="8" t="s">
        <v>1</v>
      </c>
      <c r="Z104" s="66" t="s">
        <v>1</v>
      </c>
    </row>
    <row r="105" spans="1:26" x14ac:dyDescent="0.25">
      <c r="A105" s="122" t="s">
        <v>137</v>
      </c>
      <c r="B105" s="155">
        <v>2</v>
      </c>
      <c r="C105" s="46" t="s">
        <v>129</v>
      </c>
      <c r="D105" s="120">
        <v>1</v>
      </c>
      <c r="E105" s="35" t="s">
        <v>130</v>
      </c>
      <c r="F105" s="51">
        <v>0.21</v>
      </c>
      <c r="G105" s="35" t="s">
        <v>131</v>
      </c>
      <c r="H105" s="17"/>
      <c r="I105" s="41">
        <f>D105*F105</f>
        <v>0.21</v>
      </c>
      <c r="J105" s="41"/>
      <c r="K105" s="3"/>
      <c r="O105" s="8"/>
      <c r="Z105" s="66" t="s">
        <v>1</v>
      </c>
    </row>
    <row r="106" spans="1:26" x14ac:dyDescent="0.25">
      <c r="A106" s="122" t="s">
        <v>133</v>
      </c>
      <c r="B106" s="157"/>
      <c r="C106" s="46"/>
      <c r="D106" s="120"/>
      <c r="E106" s="35" t="s">
        <v>130</v>
      </c>
      <c r="F106" s="51"/>
      <c r="G106" s="35" t="s">
        <v>131</v>
      </c>
      <c r="H106" s="17"/>
      <c r="I106" s="41">
        <f>(B106*D106/100)*(F106/1000)</f>
        <v>0</v>
      </c>
      <c r="J106" s="41"/>
      <c r="K106" s="154"/>
      <c r="M106" s="156"/>
      <c r="U106" s="8"/>
      <c r="Z106" s="66" t="s">
        <v>1</v>
      </c>
    </row>
    <row r="107" spans="1:26" x14ac:dyDescent="0.25">
      <c r="A107" s="122" t="s">
        <v>133</v>
      </c>
      <c r="B107" s="157"/>
      <c r="C107" s="46"/>
      <c r="D107" s="120"/>
      <c r="E107" s="35" t="s">
        <v>130</v>
      </c>
      <c r="F107" s="51"/>
      <c r="G107" s="35" t="s">
        <v>131</v>
      </c>
      <c r="H107" s="17"/>
      <c r="I107" s="41">
        <f>(B107*D107/100)*(F107/1000)</f>
        <v>0</v>
      </c>
      <c r="J107" s="41"/>
      <c r="K107" s="154"/>
      <c r="M107" s="156"/>
      <c r="U107" s="8"/>
      <c r="Z107" s="66" t="s">
        <v>1</v>
      </c>
    </row>
    <row r="108" spans="1:26" x14ac:dyDescent="0.25">
      <c r="A108" s="122" t="s">
        <v>133</v>
      </c>
      <c r="B108" s="46"/>
      <c r="C108" s="46"/>
      <c r="D108" s="120"/>
      <c r="E108" s="35" t="s">
        <v>130</v>
      </c>
      <c r="F108" s="51"/>
      <c r="G108" s="35" t="s">
        <v>131</v>
      </c>
      <c r="H108" s="17"/>
      <c r="I108" s="41">
        <f>D108*F108</f>
        <v>0</v>
      </c>
      <c r="J108" s="41"/>
      <c r="K108" s="3"/>
      <c r="L108" s="161"/>
      <c r="M108" s="162"/>
      <c r="N108" s="161"/>
      <c r="O108" s="161"/>
      <c r="P108" s="161"/>
      <c r="U108" s="8"/>
      <c r="Z108" s="66"/>
    </row>
    <row r="109" spans="1:26" ht="20.25" customHeight="1" x14ac:dyDescent="0.25">
      <c r="A109" s="134"/>
      <c r="B109" s="133" t="s">
        <v>138</v>
      </c>
      <c r="C109" s="134"/>
      <c r="D109" s="87"/>
      <c r="E109" s="134"/>
      <c r="F109" s="134"/>
      <c r="G109" s="134"/>
      <c r="H109" s="134"/>
      <c r="I109" s="134"/>
      <c r="J109" s="41">
        <f>ROUND((SUM(I102:I107)*A101)+(I108*(A101/2)),2)</f>
        <v>521.95000000000005</v>
      </c>
      <c r="K109" s="3"/>
      <c r="L109" s="161"/>
      <c r="M109" s="162"/>
      <c r="N109" s="161"/>
      <c r="O109" s="161"/>
      <c r="P109" s="161"/>
      <c r="U109" s="8" t="s">
        <v>1</v>
      </c>
      <c r="Z109" s="66" t="s">
        <v>1</v>
      </c>
    </row>
    <row r="110" spans="1:26" ht="21" customHeight="1" x14ac:dyDescent="0.25">
      <c r="A110" s="25">
        <f>E4*E6</f>
        <v>15</v>
      </c>
      <c r="B110" s="15" t="s">
        <v>139</v>
      </c>
      <c r="C110" s="17"/>
      <c r="D110" s="17"/>
      <c r="E110" s="17"/>
      <c r="F110" s="159"/>
      <c r="G110" s="17"/>
      <c r="H110" s="17"/>
      <c r="I110" s="41"/>
      <c r="J110" s="41"/>
      <c r="K110" s="163"/>
      <c r="L110" s="43" t="s">
        <v>1</v>
      </c>
      <c r="M110" s="8" t="s">
        <v>1</v>
      </c>
      <c r="N110" s="43" t="s">
        <v>1</v>
      </c>
      <c r="U110" s="8" t="s">
        <v>1</v>
      </c>
      <c r="Z110" s="66" t="s">
        <v>1</v>
      </c>
    </row>
    <row r="111" spans="1:26" x14ac:dyDescent="0.25">
      <c r="A111" s="122" t="s">
        <v>124</v>
      </c>
      <c r="B111" s="155">
        <v>80</v>
      </c>
      <c r="C111" s="46" t="s">
        <v>125</v>
      </c>
      <c r="D111" s="120">
        <v>1</v>
      </c>
      <c r="E111" s="35" t="s">
        <v>126</v>
      </c>
      <c r="F111" s="51">
        <f>67.75/960*1000</f>
        <v>70.572916666666671</v>
      </c>
      <c r="G111" s="35" t="s">
        <v>127</v>
      </c>
      <c r="H111" s="17"/>
      <c r="I111" s="41">
        <f>(B111/26*D111*3)*(F111/1000)</f>
        <v>0.65144230769230771</v>
      </c>
      <c r="J111" s="41"/>
      <c r="K111" s="154"/>
      <c r="M111" s="156"/>
      <c r="U111" s="8"/>
      <c r="Z111" s="66" t="s">
        <v>1</v>
      </c>
    </row>
    <row r="112" spans="1:26" x14ac:dyDescent="0.25">
      <c r="A112" s="122" t="s">
        <v>128</v>
      </c>
      <c r="B112" s="155">
        <v>5</v>
      </c>
      <c r="C112" s="46" t="s">
        <v>129</v>
      </c>
      <c r="D112" s="120">
        <v>1</v>
      </c>
      <c r="E112" s="35" t="s">
        <v>130</v>
      </c>
      <c r="F112" s="51">
        <v>0.55000000000000004</v>
      </c>
      <c r="G112" s="35" t="s">
        <v>131</v>
      </c>
      <c r="H112" s="17"/>
      <c r="I112" s="41">
        <f>(D112*F112)</f>
        <v>0.55000000000000004</v>
      </c>
      <c r="J112" s="41"/>
      <c r="K112" s="154"/>
      <c r="M112" s="156"/>
      <c r="U112" s="8"/>
      <c r="Z112" s="66" t="s">
        <v>1</v>
      </c>
    </row>
    <row r="113" spans="1:26" x14ac:dyDescent="0.25">
      <c r="A113" s="122" t="s">
        <v>133</v>
      </c>
      <c r="B113" s="46"/>
      <c r="C113" s="46"/>
      <c r="D113" s="120"/>
      <c r="E113" s="35" t="s">
        <v>130</v>
      </c>
      <c r="F113" s="51"/>
      <c r="G113" s="35" t="s">
        <v>131</v>
      </c>
      <c r="H113" s="17"/>
      <c r="I113" s="41">
        <f>D113*F113</f>
        <v>0</v>
      </c>
      <c r="J113" s="41"/>
      <c r="K113" s="3"/>
      <c r="L113" s="43" t="s">
        <v>1</v>
      </c>
      <c r="M113" s="8" t="s">
        <v>1</v>
      </c>
      <c r="N113" s="43" t="s">
        <v>1</v>
      </c>
      <c r="U113" s="8" t="s">
        <v>1</v>
      </c>
    </row>
    <row r="114" spans="1:26" x14ac:dyDescent="0.25">
      <c r="A114" s="122" t="s">
        <v>133</v>
      </c>
      <c r="B114" s="46"/>
      <c r="C114" s="46"/>
      <c r="D114" s="120"/>
      <c r="E114" s="35" t="s">
        <v>130</v>
      </c>
      <c r="F114" s="51"/>
      <c r="G114" s="35" t="s">
        <v>131</v>
      </c>
      <c r="H114" s="17"/>
      <c r="I114" s="41">
        <f>D114*F114</f>
        <v>0</v>
      </c>
      <c r="J114" s="41"/>
      <c r="K114" s="3"/>
      <c r="L114" s="43" t="s">
        <v>1</v>
      </c>
      <c r="M114" s="8" t="s">
        <v>1</v>
      </c>
      <c r="N114" s="43" t="s">
        <v>1</v>
      </c>
      <c r="U114" s="8" t="s">
        <v>1</v>
      </c>
    </row>
    <row r="115" spans="1:26" x14ac:dyDescent="0.25">
      <c r="A115" s="122" t="s">
        <v>133</v>
      </c>
      <c r="B115" s="46"/>
      <c r="C115" s="46"/>
      <c r="D115" s="120"/>
      <c r="E115" s="35" t="s">
        <v>130</v>
      </c>
      <c r="F115" s="51"/>
      <c r="G115" s="35" t="s">
        <v>131</v>
      </c>
      <c r="H115" s="17"/>
      <c r="I115" s="41">
        <f>D115*F115</f>
        <v>0</v>
      </c>
      <c r="J115" s="41"/>
      <c r="K115" s="3"/>
      <c r="L115" s="43" t="s">
        <v>1</v>
      </c>
      <c r="M115" s="8" t="s">
        <v>1</v>
      </c>
      <c r="N115" s="43" t="s">
        <v>1</v>
      </c>
      <c r="U115" s="8" t="s">
        <v>1</v>
      </c>
    </row>
    <row r="116" spans="1:26" x14ac:dyDescent="0.25">
      <c r="A116" s="122" t="s">
        <v>133</v>
      </c>
      <c r="B116" s="46"/>
      <c r="C116" s="46"/>
      <c r="D116" s="120"/>
      <c r="E116" s="35" t="s">
        <v>130</v>
      </c>
      <c r="F116" s="51"/>
      <c r="G116" s="35" t="s">
        <v>131</v>
      </c>
      <c r="H116" s="17"/>
      <c r="I116" s="41">
        <f>D116*F116</f>
        <v>0</v>
      </c>
      <c r="J116" s="41"/>
      <c r="K116" s="3"/>
      <c r="L116" s="43" t="s">
        <v>1</v>
      </c>
      <c r="M116" s="8" t="s">
        <v>1</v>
      </c>
      <c r="N116" s="43" t="s">
        <v>1</v>
      </c>
      <c r="U116" s="8" t="s">
        <v>1</v>
      </c>
    </row>
    <row r="117" spans="1:26" ht="21" customHeight="1" x14ac:dyDescent="0.25">
      <c r="A117" s="134"/>
      <c r="B117" s="133" t="s">
        <v>140</v>
      </c>
      <c r="C117" s="134"/>
      <c r="D117" s="134"/>
      <c r="E117" s="134"/>
      <c r="F117" s="158"/>
      <c r="G117" s="134"/>
      <c r="H117" s="134"/>
      <c r="I117" s="134"/>
      <c r="J117" s="41">
        <f>ROUND(A110*(SUM(I111:I116)),2)</f>
        <v>18.02</v>
      </c>
      <c r="K117" s="163"/>
      <c r="L117" s="43" t="s">
        <v>1</v>
      </c>
      <c r="M117" s="8" t="s">
        <v>1</v>
      </c>
      <c r="N117" s="43" t="s">
        <v>1</v>
      </c>
      <c r="U117" s="8" t="s">
        <v>1</v>
      </c>
      <c r="Z117" s="66" t="s">
        <v>1</v>
      </c>
    </row>
    <row r="118" spans="1:26" ht="24" customHeight="1" x14ac:dyDescent="0.25">
      <c r="A118" s="164" t="s">
        <v>141</v>
      </c>
      <c r="B118" s="165"/>
      <c r="D118" s="120">
        <v>1</v>
      </c>
      <c r="E118" s="17" t="s">
        <v>142</v>
      </c>
      <c r="F118" s="166">
        <v>250</v>
      </c>
      <c r="G118" s="35" t="s">
        <v>143</v>
      </c>
      <c r="H118" s="137" t="s">
        <v>144</v>
      </c>
      <c r="I118" s="137"/>
      <c r="J118" s="41">
        <f>D118*F118</f>
        <v>250</v>
      </c>
      <c r="K118" s="3"/>
      <c r="L118" s="43" t="s">
        <v>1</v>
      </c>
      <c r="M118" s="8" t="s">
        <v>1</v>
      </c>
      <c r="N118" s="43" t="s">
        <v>1</v>
      </c>
      <c r="U118" s="8" t="s">
        <v>1</v>
      </c>
    </row>
    <row r="119" spans="1:26" ht="12" customHeight="1" x14ac:dyDescent="0.25">
      <c r="A119" s="122"/>
      <c r="B119" s="35"/>
      <c r="D119" s="120"/>
      <c r="E119" s="17"/>
      <c r="F119" s="166"/>
      <c r="G119" s="35"/>
      <c r="H119" s="17"/>
      <c r="I119" s="41"/>
      <c r="J119" s="41"/>
      <c r="K119" s="3"/>
      <c r="L119" s="43"/>
      <c r="M119" s="8"/>
      <c r="N119" s="43"/>
      <c r="U119" s="8"/>
    </row>
    <row r="120" spans="1:26" ht="20.25" customHeight="1" x14ac:dyDescent="0.25">
      <c r="A120" s="69" t="s">
        <v>145</v>
      </c>
      <c r="B120" s="10"/>
      <c r="C120" s="10"/>
      <c r="D120" s="137" t="s">
        <v>144</v>
      </c>
      <c r="E120" s="137" t="s">
        <v>144</v>
      </c>
      <c r="F120" s="137" t="s">
        <v>144</v>
      </c>
      <c r="G120" s="137" t="s">
        <v>144</v>
      </c>
      <c r="H120" s="137" t="s">
        <v>144</v>
      </c>
      <c r="I120" s="137" t="s">
        <v>144</v>
      </c>
      <c r="J120" s="167">
        <f>J100+J109+J117+J118</f>
        <v>1631.2</v>
      </c>
      <c r="K120" s="154"/>
      <c r="L120" s="43" t="s">
        <v>1</v>
      </c>
      <c r="M120" s="8"/>
      <c r="N120" s="43"/>
      <c r="U120" s="8" t="s">
        <v>1</v>
      </c>
    </row>
    <row r="121" spans="1:26" ht="15.6" thickBot="1" x14ac:dyDescent="0.3">
      <c r="A121" s="168"/>
      <c r="B121" s="169"/>
      <c r="C121" s="169"/>
      <c r="D121" s="169"/>
      <c r="E121" s="170"/>
      <c r="F121" s="171"/>
      <c r="G121" s="170"/>
      <c r="H121" s="172"/>
      <c r="I121" s="172"/>
      <c r="J121" s="173"/>
      <c r="K121" s="154"/>
      <c r="L121" s="43"/>
      <c r="M121" s="43"/>
      <c r="N121" s="43"/>
      <c r="S121" s="8" t="s">
        <v>1</v>
      </c>
      <c r="X121" s="66" t="s">
        <v>1</v>
      </c>
    </row>
    <row r="122" spans="1:26" ht="24" customHeight="1" x14ac:dyDescent="0.25">
      <c r="F122" s="174" t="s">
        <v>146</v>
      </c>
      <c r="G122"/>
      <c r="H122"/>
      <c r="J122"/>
      <c r="K122" s="8"/>
      <c r="L122" s="43"/>
      <c r="S122" s="8"/>
      <c r="X122" s="66"/>
    </row>
    <row r="123" spans="1:26" ht="15" customHeight="1" x14ac:dyDescent="0.25">
      <c r="A123" s="175" t="s">
        <v>147</v>
      </c>
      <c r="B123" s="10"/>
      <c r="C123" s="10"/>
      <c r="D123" s="10"/>
      <c r="E123" s="10"/>
      <c r="F123" s="10"/>
      <c r="G123" s="10"/>
      <c r="H123" s="10"/>
      <c r="I123" s="10"/>
      <c r="J123" s="10"/>
      <c r="K123" s="8"/>
      <c r="L123" s="43"/>
      <c r="S123" s="8"/>
      <c r="X123" s="66"/>
    </row>
    <row r="124" spans="1:26" x14ac:dyDescent="0.25">
      <c r="D124" s="176"/>
    </row>
    <row r="125" spans="1:26" x14ac:dyDescent="0.25">
      <c r="D125" s="176"/>
    </row>
    <row r="135" spans="1:9" x14ac:dyDescent="0.25">
      <c r="A135" s="1" t="s">
        <v>148</v>
      </c>
    </row>
    <row r="137" spans="1:9" x14ac:dyDescent="0.25">
      <c r="D137" s="104" t="s">
        <v>149</v>
      </c>
      <c r="E137" s="104" t="s">
        <v>87</v>
      </c>
      <c r="F137" s="104" t="s">
        <v>150</v>
      </c>
      <c r="G137" s="104" t="s">
        <v>89</v>
      </c>
      <c r="H137" s="104" t="s">
        <v>90</v>
      </c>
      <c r="I137" s="104"/>
    </row>
    <row r="138" spans="1:9" x14ac:dyDescent="0.25">
      <c r="A138" s="1" t="s">
        <v>151</v>
      </c>
      <c r="D138" s="177">
        <v>100</v>
      </c>
      <c r="E138" s="177"/>
      <c r="F138" s="178"/>
      <c r="G138" s="177"/>
      <c r="H138" s="177"/>
    </row>
    <row r="139" spans="1:9" x14ac:dyDescent="0.25">
      <c r="A139" s="1" t="s">
        <v>152</v>
      </c>
      <c r="D139" s="177">
        <v>100</v>
      </c>
      <c r="E139" s="177"/>
      <c r="F139" s="178"/>
      <c r="G139" s="177"/>
      <c r="H139" s="177"/>
    </row>
    <row r="140" spans="1:9" x14ac:dyDescent="0.25">
      <c r="A140" s="1" t="s">
        <v>153</v>
      </c>
      <c r="D140" s="177">
        <v>50</v>
      </c>
      <c r="E140" s="177"/>
      <c r="F140" s="178">
        <v>50</v>
      </c>
      <c r="G140" s="177"/>
      <c r="H140" s="177"/>
    </row>
    <row r="141" spans="1:9" x14ac:dyDescent="0.25">
      <c r="A141" s="1" t="s">
        <v>154</v>
      </c>
      <c r="D141" s="177"/>
      <c r="E141" s="177"/>
      <c r="F141" s="178">
        <v>75</v>
      </c>
      <c r="G141" s="177">
        <v>25</v>
      </c>
      <c r="H141" s="177"/>
    </row>
    <row r="142" spans="1:9" x14ac:dyDescent="0.25">
      <c r="A142" s="1" t="s">
        <v>155</v>
      </c>
      <c r="D142" s="177"/>
      <c r="E142" s="177"/>
      <c r="F142" s="178">
        <v>25</v>
      </c>
      <c r="G142" s="177">
        <v>75</v>
      </c>
      <c r="H142" s="177"/>
    </row>
    <row r="143" spans="1:9" x14ac:dyDescent="0.25">
      <c r="A143" s="1" t="s">
        <v>156</v>
      </c>
      <c r="D143" s="177"/>
      <c r="E143" s="177"/>
      <c r="F143" s="178">
        <v>25</v>
      </c>
      <c r="G143" s="177"/>
      <c r="H143" s="177"/>
    </row>
    <row r="145" spans="1:16" x14ac:dyDescent="0.25">
      <c r="A145" s="1" t="s">
        <v>157</v>
      </c>
      <c r="D145" s="179">
        <f>(D72*D138*31/100)+(D72*D139*31/100)+(D72*D140*28/100)+(D72*D141*31/100)+(D72*D142*15/100)+(D72*D143*15/100)</f>
        <v>7600</v>
      </c>
      <c r="F145" s="179">
        <f>(F72*F138*31/100)+(F72*F139*31/100)+(F72*F140*28/100)+(F72*F141*31/100)+(F72*F142*15/100)+(F72*F143*15/100)</f>
        <v>4475</v>
      </c>
      <c r="G145" s="179">
        <f>(G72*G138*31/100)+(G72*G139*31/100)+(G72*G140*28/100)+(G72*G141*31/100)+(G72*G142*15/100)+(G72*G143*15/100)</f>
        <v>1900</v>
      </c>
    </row>
    <row r="146" spans="1:16" x14ac:dyDescent="0.25">
      <c r="A146" s="43" t="s">
        <v>158</v>
      </c>
      <c r="B146" s="8"/>
      <c r="C146" s="8"/>
      <c r="D146" s="180">
        <f>ROUND(D145/D72,0)</f>
        <v>76</v>
      </c>
      <c r="E146" s="8"/>
      <c r="F146" s="180">
        <f>ROUND(F145/F72,0)</f>
        <v>45</v>
      </c>
      <c r="G146" s="180">
        <f>ROUND(G145/G72,0)</f>
        <v>19</v>
      </c>
      <c r="H146" s="8"/>
      <c r="I146" s="8"/>
      <c r="J146" s="8"/>
    </row>
    <row r="160" spans="1:16" x14ac:dyDescent="0.25">
      <c r="B160" s="43"/>
      <c r="C160" s="43"/>
      <c r="L160"/>
      <c r="M160" s="43"/>
      <c r="N160"/>
      <c r="O160"/>
      <c r="P160"/>
    </row>
    <row r="161" spans="1:16" x14ac:dyDescent="0.25">
      <c r="L161"/>
      <c r="M161" s="43"/>
      <c r="N161"/>
      <c r="O161"/>
      <c r="P161"/>
    </row>
    <row r="162" spans="1:16" x14ac:dyDescent="0.25">
      <c r="F162" s="181"/>
      <c r="L162"/>
      <c r="M162" s="43"/>
      <c r="N162"/>
      <c r="O162"/>
      <c r="P162"/>
    </row>
    <row r="163" spans="1:16" x14ac:dyDescent="0.25">
      <c r="A163" s="43"/>
      <c r="B163" s="43"/>
      <c r="C163" s="43"/>
      <c r="D163" s="43"/>
      <c r="E163" s="43"/>
    </row>
    <row r="164" spans="1:16" x14ac:dyDescent="0.25">
      <c r="B164" s="43"/>
      <c r="C164" s="43"/>
      <c r="K164" s="43"/>
      <c r="L164"/>
      <c r="M164" s="43"/>
      <c r="N164"/>
      <c r="O164"/>
      <c r="P164"/>
    </row>
    <row r="165" spans="1:16" x14ac:dyDescent="0.25">
      <c r="B165" s="43"/>
      <c r="C165" s="43"/>
      <c r="L165"/>
      <c r="M165" s="43"/>
      <c r="N165"/>
      <c r="O165"/>
      <c r="P165"/>
    </row>
    <row r="166" spans="1:16" x14ac:dyDescent="0.25">
      <c r="B166" s="43"/>
      <c r="C166" s="43"/>
      <c r="L166"/>
      <c r="M166" s="43"/>
      <c r="N166"/>
      <c r="O166"/>
      <c r="P166"/>
    </row>
    <row r="167" spans="1:16" x14ac:dyDescent="0.25">
      <c r="B167" s="43"/>
      <c r="C167" s="43"/>
      <c r="L167"/>
      <c r="M167" s="43"/>
      <c r="N167"/>
      <c r="O167"/>
      <c r="P167"/>
    </row>
    <row r="168" spans="1:16" x14ac:dyDescent="0.25">
      <c r="B168" s="43"/>
      <c r="C168" s="43"/>
    </row>
    <row r="169" spans="1:16" x14ac:dyDescent="0.25">
      <c r="B169" s="43"/>
      <c r="C169" s="43"/>
      <c r="L169"/>
      <c r="M169" s="43"/>
      <c r="N169"/>
      <c r="O169"/>
      <c r="P169"/>
    </row>
    <row r="170" spans="1:16" x14ac:dyDescent="0.25">
      <c r="B170" s="43"/>
      <c r="C170" s="43"/>
      <c r="L170"/>
      <c r="M170" s="43"/>
      <c r="N170"/>
      <c r="O170"/>
      <c r="P170"/>
    </row>
    <row r="171" spans="1:16" x14ac:dyDescent="0.25">
      <c r="B171" s="43"/>
      <c r="C171" s="43"/>
      <c r="L171"/>
      <c r="M171" s="43"/>
      <c r="N171"/>
      <c r="O171"/>
      <c r="P171"/>
    </row>
    <row r="172" spans="1:16" x14ac:dyDescent="0.25">
      <c r="B172" s="43"/>
      <c r="C172" s="43"/>
    </row>
    <row r="173" spans="1:16" x14ac:dyDescent="0.25">
      <c r="B173" s="43"/>
      <c r="C173" s="43"/>
    </row>
    <row r="174" spans="1:16" x14ac:dyDescent="0.25">
      <c r="B174" s="43"/>
      <c r="C174" s="43"/>
    </row>
    <row r="175" spans="1:16" x14ac:dyDescent="0.25">
      <c r="B175" s="43"/>
      <c r="C175" s="43"/>
    </row>
    <row r="176" spans="1:16" x14ac:dyDescent="0.25">
      <c r="B176" s="43"/>
      <c r="C176" s="43"/>
    </row>
    <row r="177" spans="2:3" x14ac:dyDescent="0.25">
      <c r="B177" s="43"/>
      <c r="C177" s="43"/>
    </row>
    <row r="178" spans="2:3" x14ac:dyDescent="0.25">
      <c r="B178" s="43"/>
      <c r="C178" s="43"/>
    </row>
    <row r="179" spans="2:3" x14ac:dyDescent="0.25">
      <c r="B179" s="43"/>
      <c r="C179" s="43"/>
    </row>
    <row r="180" spans="2:3" x14ac:dyDescent="0.25">
      <c r="B180" s="43"/>
      <c r="C180" s="43"/>
    </row>
    <row r="181" spans="2:3" x14ac:dyDescent="0.25">
      <c r="B181" s="43"/>
      <c r="C181" s="43"/>
    </row>
    <row r="182" spans="2:3" x14ac:dyDescent="0.25">
      <c r="B182" s="43"/>
      <c r="C182" s="43"/>
    </row>
    <row r="183" spans="2:3" x14ac:dyDescent="0.25">
      <c r="B183" s="43"/>
      <c r="C183" s="43"/>
    </row>
    <row r="184" spans="2:3" x14ac:dyDescent="0.25">
      <c r="B184" s="43"/>
      <c r="C184" s="43"/>
    </row>
    <row r="185" spans="2:3" x14ac:dyDescent="0.25">
      <c r="B185" s="43"/>
      <c r="C185" s="43"/>
    </row>
    <row r="186" spans="2:3" x14ac:dyDescent="0.25">
      <c r="B186" s="43"/>
      <c r="C186" s="43"/>
    </row>
    <row r="187" spans="2:3" x14ac:dyDescent="0.25">
      <c r="B187" s="43"/>
      <c r="C187" s="43"/>
    </row>
    <row r="188" spans="2:3" x14ac:dyDescent="0.25">
      <c r="B188" s="43"/>
      <c r="C188" s="43"/>
    </row>
    <row r="189" spans="2:3" x14ac:dyDescent="0.25">
      <c r="B189" s="43"/>
      <c r="C189" s="43"/>
    </row>
    <row r="190" spans="2:3" x14ac:dyDescent="0.25">
      <c r="B190" s="43"/>
      <c r="C190" s="43"/>
    </row>
    <row r="191" spans="2:3" x14ac:dyDescent="0.25">
      <c r="B191" s="43"/>
      <c r="C191" s="43"/>
    </row>
    <row r="192" spans="2:3" x14ac:dyDescent="0.25">
      <c r="B192" s="43"/>
      <c r="C192" s="43"/>
    </row>
    <row r="193" spans="2:3" x14ac:dyDescent="0.25">
      <c r="B193" s="43"/>
      <c r="C193" s="43"/>
    </row>
    <row r="194" spans="2:3" x14ac:dyDescent="0.25">
      <c r="B194" s="43"/>
      <c r="C194" s="43"/>
    </row>
    <row r="195" spans="2:3" x14ac:dyDescent="0.25">
      <c r="B195" s="43"/>
      <c r="C195" s="43"/>
    </row>
    <row r="196" spans="2:3" x14ac:dyDescent="0.25">
      <c r="B196" s="43"/>
      <c r="C196" s="43"/>
    </row>
    <row r="197" spans="2:3" x14ac:dyDescent="0.25">
      <c r="B197" s="43"/>
      <c r="C197" s="43"/>
    </row>
    <row r="198" spans="2:3" x14ac:dyDescent="0.25">
      <c r="B198" s="43"/>
      <c r="C198" s="43"/>
    </row>
    <row r="199" spans="2:3" x14ac:dyDescent="0.25">
      <c r="B199" s="43"/>
      <c r="C199" s="43"/>
    </row>
    <row r="200" spans="2:3" x14ac:dyDescent="0.25">
      <c r="B200" s="43"/>
      <c r="C200" s="43"/>
    </row>
    <row r="201" spans="2:3" x14ac:dyDescent="0.25">
      <c r="B201" s="43"/>
      <c r="C201" s="43"/>
    </row>
    <row r="202" spans="2:3" x14ac:dyDescent="0.25">
      <c r="B202" s="43"/>
      <c r="C202" s="43"/>
    </row>
    <row r="203" spans="2:3" x14ac:dyDescent="0.25">
      <c r="B203" s="43"/>
      <c r="C203" s="43"/>
    </row>
    <row r="204" spans="2:3" x14ac:dyDescent="0.25">
      <c r="B204" s="43"/>
      <c r="C204" s="43"/>
    </row>
    <row r="205" spans="2:3" x14ac:dyDescent="0.25">
      <c r="B205" s="43"/>
      <c r="C205" s="43"/>
    </row>
    <row r="206" spans="2:3" x14ac:dyDescent="0.25">
      <c r="B206" s="43"/>
      <c r="C206" s="43"/>
    </row>
    <row r="207" spans="2:3" x14ac:dyDescent="0.25">
      <c r="B207" s="43"/>
      <c r="C207" s="43"/>
    </row>
    <row r="208" spans="2:3" x14ac:dyDescent="0.25">
      <c r="B208" s="43"/>
      <c r="C208" s="43"/>
    </row>
    <row r="209" spans="2:3" x14ac:dyDescent="0.25">
      <c r="B209" s="43"/>
      <c r="C209" s="43"/>
    </row>
    <row r="210" spans="2:3" x14ac:dyDescent="0.25">
      <c r="B210" s="43"/>
      <c r="C210" s="43"/>
    </row>
    <row r="211" spans="2:3" x14ac:dyDescent="0.25">
      <c r="B211" s="43"/>
      <c r="C211" s="43"/>
    </row>
    <row r="212" spans="2:3" x14ac:dyDescent="0.25">
      <c r="B212" s="43"/>
      <c r="C212" s="43"/>
    </row>
    <row r="213" spans="2:3" x14ac:dyDescent="0.25">
      <c r="B213" s="43"/>
      <c r="C213" s="43"/>
    </row>
    <row r="214" spans="2:3" x14ac:dyDescent="0.25">
      <c r="B214" s="43"/>
      <c r="C214" s="43"/>
    </row>
    <row r="215" spans="2:3" x14ac:dyDescent="0.25">
      <c r="B215" s="43"/>
      <c r="C215" s="43"/>
    </row>
    <row r="216" spans="2:3" x14ac:dyDescent="0.25">
      <c r="B216" s="43"/>
      <c r="C216" s="43"/>
    </row>
    <row r="217" spans="2:3" x14ac:dyDescent="0.25">
      <c r="B217" s="43"/>
      <c r="C217" s="43"/>
    </row>
    <row r="218" spans="2:3" x14ac:dyDescent="0.25">
      <c r="B218" s="43"/>
      <c r="C218" s="43"/>
    </row>
    <row r="219" spans="2:3" x14ac:dyDescent="0.25">
      <c r="B219" s="43"/>
      <c r="C219" s="43"/>
    </row>
    <row r="220" spans="2:3" x14ac:dyDescent="0.25">
      <c r="B220" s="43"/>
      <c r="C220" s="43"/>
    </row>
    <row r="221" spans="2:3" x14ac:dyDescent="0.25">
      <c r="B221" s="43"/>
      <c r="C221" s="43"/>
    </row>
    <row r="222" spans="2:3" x14ac:dyDescent="0.25">
      <c r="B222" s="43"/>
      <c r="C222" s="43"/>
    </row>
    <row r="223" spans="2:3" x14ac:dyDescent="0.25">
      <c r="B223" s="43"/>
      <c r="C223" s="43"/>
    </row>
  </sheetData>
  <mergeCells count="17">
    <mergeCell ref="A118:B118"/>
    <mergeCell ref="A120:C120"/>
    <mergeCell ref="A123:J123"/>
    <mergeCell ref="H4:J4"/>
    <mergeCell ref="D56:J56"/>
    <mergeCell ref="A66:J66"/>
    <mergeCell ref="A69:F69"/>
    <mergeCell ref="D70:G70"/>
    <mergeCell ref="B72:C72"/>
    <mergeCell ref="B73:C73"/>
    <mergeCell ref="A3:J3"/>
    <mergeCell ref="B7:D7"/>
    <mergeCell ref="C33:D33"/>
    <mergeCell ref="C34:D34"/>
    <mergeCell ref="A51:F51"/>
    <mergeCell ref="A54:B54"/>
    <mergeCell ref="D54:J54"/>
  </mergeCells>
  <printOptions horizontalCentered="1"/>
  <pageMargins left="1" right="1" top="0.5" bottom="0.6" header="0.5" footer="0.5"/>
  <pageSetup scale="64" fitToHeight="2" orientation="portrait" r:id="rId1"/>
  <headerFooter alignWithMargins="0"/>
  <rowBreaks count="2" manualBreakCount="2">
    <brk id="67" max="16383" man="1"/>
    <brk id="88" max="9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Sheep</vt:lpstr>
      <vt:lpstr>Sheep!Print_Area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Stanley, Tom</dc:creator>
  <cp:lastModifiedBy>Stanley, Tom</cp:lastModifiedBy>
  <dcterms:created xsi:type="dcterms:W3CDTF">2024-11-19T15:31:51Z</dcterms:created>
  <dcterms:modified xsi:type="dcterms:W3CDTF">2024-11-19T18:02:04Z</dcterms:modified>
</cp:coreProperties>
</file>