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t\Documents\Farm Budgets\1A Budgets Posted to VCE Rockbridge\"/>
    </mc:Choice>
  </mc:AlternateContent>
  <xr:revisionPtr revIDLastSave="0" documentId="13_ncr:1_{D260CF37-BFFA-4864-927D-96A145B0966F}" xr6:coauthVersionLast="47" xr6:coauthVersionMax="47" xr10:uidLastSave="{00000000-0000-0000-0000-000000000000}"/>
  <bookViews>
    <workbookView xWindow="-108" yWindow="-108" windowWidth="24792" windowHeight="13320" xr2:uid="{00000000-000D-0000-FFFF-FFFF00000000}"/>
  </bookViews>
  <sheets>
    <sheet name="Cow-Calf Herd on Shares" sheetId="1" r:id="rId1"/>
  </sheets>
  <definedNames>
    <definedName name="_xlnm.Print_Area" localSheetId="0">'Cow-Calf Herd on Shares'!$A$1:$J$124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9" i="1"/>
  <c r="J119" i="1" l="1"/>
  <c r="I117" i="1"/>
  <c r="I116" i="1"/>
  <c r="I115" i="1"/>
  <c r="I112" i="1"/>
  <c r="I111" i="1"/>
  <c r="I110" i="1"/>
  <c r="I109" i="1"/>
  <c r="I108" i="1"/>
  <c r="I105" i="1"/>
  <c r="I104" i="1"/>
  <c r="I103" i="1"/>
  <c r="I102" i="1"/>
  <c r="F101" i="1"/>
  <c r="I101" i="1" s="1"/>
  <c r="I100" i="1"/>
  <c r="A99" i="1"/>
  <c r="I97" i="1"/>
  <c r="I96" i="1"/>
  <c r="I95" i="1"/>
  <c r="I94" i="1"/>
  <c r="I93" i="1"/>
  <c r="F93" i="1"/>
  <c r="I92" i="1"/>
  <c r="I91" i="1"/>
  <c r="D90" i="1"/>
  <c r="A90" i="1"/>
  <c r="J86" i="1"/>
  <c r="J85" i="1"/>
  <c r="J84" i="1"/>
  <c r="A107" i="1"/>
  <c r="F70" i="1"/>
  <c r="A67" i="1"/>
  <c r="B60" i="1"/>
  <c r="B59" i="1"/>
  <c r="B58" i="1"/>
  <c r="B56" i="1"/>
  <c r="B55" i="1"/>
  <c r="J53" i="1"/>
  <c r="I53" i="1"/>
  <c r="H53" i="1"/>
  <c r="F53" i="1"/>
  <c r="E53" i="1"/>
  <c r="D53" i="1"/>
  <c r="H42" i="1"/>
  <c r="I42" i="1" s="1"/>
  <c r="H41" i="1"/>
  <c r="I41" i="1" s="1"/>
  <c r="H40" i="1"/>
  <c r="I40" i="1" s="1"/>
  <c r="H39" i="1"/>
  <c r="I39" i="1" s="1"/>
  <c r="H38" i="1"/>
  <c r="I38" i="1" s="1"/>
  <c r="L38" i="1" s="1"/>
  <c r="H33" i="1"/>
  <c r="I33" i="1" s="1"/>
  <c r="L33" i="1" s="1"/>
  <c r="H32" i="1"/>
  <c r="I32" i="1" s="1"/>
  <c r="H31" i="1"/>
  <c r="I31" i="1" s="1"/>
  <c r="J29" i="1"/>
  <c r="H28" i="1"/>
  <c r="I28" i="1" s="1"/>
  <c r="H27" i="1"/>
  <c r="H26" i="1"/>
  <c r="I26" i="1" s="1"/>
  <c r="J25" i="1"/>
  <c r="I25" i="1"/>
  <c r="E24" i="1"/>
  <c r="A24" i="1"/>
  <c r="E23" i="1"/>
  <c r="A23" i="1"/>
  <c r="E22" i="1"/>
  <c r="A22" i="1"/>
  <c r="E21" i="1"/>
  <c r="A21" i="1"/>
  <c r="E20" i="1"/>
  <c r="A20" i="1"/>
  <c r="E19" i="1"/>
  <c r="A19" i="1"/>
  <c r="E18" i="1"/>
  <c r="A18" i="1"/>
  <c r="B14" i="1"/>
  <c r="H14" i="1" s="1"/>
  <c r="I14" i="1" s="1"/>
  <c r="L14" i="1" s="1"/>
  <c r="B13" i="1"/>
  <c r="B12" i="1"/>
  <c r="H12" i="1" s="1"/>
  <c r="I12" i="1" s="1"/>
  <c r="B11" i="1"/>
  <c r="H11" i="1" s="1"/>
  <c r="I11" i="1" s="1"/>
  <c r="J31" i="1" l="1"/>
  <c r="L31" i="1"/>
  <c r="H34" i="1"/>
  <c r="I34" i="1" s="1"/>
  <c r="I30" i="1"/>
  <c r="J39" i="1"/>
  <c r="L39" i="1"/>
  <c r="J40" i="1"/>
  <c r="L40" i="1"/>
  <c r="J41" i="1"/>
  <c r="L41" i="1"/>
  <c r="J42" i="1"/>
  <c r="L42" i="1"/>
  <c r="J28" i="1"/>
  <c r="L28" i="1"/>
  <c r="J32" i="1"/>
  <c r="L32" i="1"/>
  <c r="J26" i="1"/>
  <c r="L26" i="1"/>
  <c r="J88" i="1"/>
  <c r="I47" i="1" s="1"/>
  <c r="J113" i="1"/>
  <c r="H36" i="1"/>
  <c r="I36" i="1" s="1"/>
  <c r="L36" i="1" s="1"/>
  <c r="L11" i="1"/>
  <c r="J11" i="1"/>
  <c r="J38" i="1"/>
  <c r="L12" i="1"/>
  <c r="J12" i="1"/>
  <c r="J106" i="1"/>
  <c r="L34" i="1"/>
  <c r="J34" i="1"/>
  <c r="H35" i="1"/>
  <c r="J33" i="1"/>
  <c r="H37" i="1"/>
  <c r="F37" i="1" s="1"/>
  <c r="I37" i="1" s="1"/>
  <c r="H13" i="1"/>
  <c r="I13" i="1" s="1"/>
  <c r="L13" i="1" s="1"/>
  <c r="J30" i="1" l="1"/>
  <c r="L30" i="1"/>
  <c r="J36" i="1"/>
  <c r="F35" i="1"/>
  <c r="I35" i="1" s="1"/>
  <c r="J35" i="1" s="1"/>
  <c r="I15" i="1"/>
  <c r="G15" i="1" s="1"/>
  <c r="J37" i="1"/>
  <c r="L37" i="1"/>
  <c r="A114" i="1"/>
  <c r="J76" i="1"/>
  <c r="H21" i="1" s="1"/>
  <c r="I21" i="1" s="1"/>
  <c r="J21" i="1" l="1"/>
  <c r="L21" i="1"/>
  <c r="L35" i="1"/>
  <c r="J118" i="1"/>
  <c r="J98" i="1"/>
  <c r="J75" i="1"/>
  <c r="H20" i="1" s="1"/>
  <c r="I20" i="1" s="1"/>
  <c r="J73" i="1"/>
  <c r="H18" i="1" s="1"/>
  <c r="I18" i="1" s="1"/>
  <c r="L18" i="1" s="1"/>
  <c r="J77" i="1"/>
  <c r="H22" i="1" s="1"/>
  <c r="I22" i="1" s="1"/>
  <c r="J74" i="1"/>
  <c r="H19" i="1" s="1"/>
  <c r="I19" i="1" s="1"/>
  <c r="J79" i="1"/>
  <c r="H24" i="1" s="1"/>
  <c r="I24" i="1" s="1"/>
  <c r="J78" i="1"/>
  <c r="H23" i="1" s="1"/>
  <c r="I23" i="1" s="1"/>
  <c r="J19" i="1" l="1"/>
  <c r="L19" i="1"/>
  <c r="J23" i="1"/>
  <c r="L23" i="1"/>
  <c r="J24" i="1"/>
  <c r="L24" i="1"/>
  <c r="J22" i="1"/>
  <c r="L22" i="1"/>
  <c r="J20" i="1"/>
  <c r="L20" i="1"/>
  <c r="J18" i="1"/>
  <c r="J121" i="1"/>
  <c r="F27" i="1" s="1"/>
  <c r="I27" i="1" s="1"/>
  <c r="J27" i="1" l="1"/>
  <c r="L27" i="1"/>
  <c r="H43" i="1"/>
  <c r="I43" i="1" s="1"/>
  <c r="J43" i="1" l="1"/>
  <c r="J45" i="1" s="1"/>
  <c r="J49" i="1" s="1"/>
  <c r="L43" i="1"/>
  <c r="L45" i="1" s="1"/>
  <c r="L49" i="1" s="1"/>
  <c r="I45" i="1"/>
  <c r="G45" i="1" l="1"/>
  <c r="D60" i="1"/>
  <c r="D58" i="1"/>
  <c r="G55" i="1"/>
  <c r="E58" i="1"/>
  <c r="G59" i="1"/>
  <c r="F56" i="1"/>
  <c r="J59" i="1"/>
  <c r="J57" i="1"/>
  <c r="I55" i="1"/>
  <c r="I57" i="1"/>
  <c r="F55" i="1"/>
  <c r="J58" i="1"/>
  <c r="I59" i="1"/>
  <c r="H60" i="1"/>
  <c r="H58" i="1"/>
  <c r="G56" i="1"/>
  <c r="E59" i="1"/>
  <c r="G60" i="1"/>
  <c r="J56" i="1"/>
  <c r="I49" i="1"/>
  <c r="G49" i="1" s="1"/>
  <c r="F60" i="1"/>
  <c r="E56" i="1"/>
  <c r="H59" i="1"/>
  <c r="H57" i="1"/>
  <c r="I60" i="1"/>
  <c r="H56" i="1"/>
  <c r="G58" i="1"/>
  <c r="J55" i="1"/>
  <c r="D56" i="1"/>
  <c r="F59" i="1"/>
  <c r="F57" i="1"/>
  <c r="E55" i="1"/>
  <c r="E57" i="1"/>
  <c r="D59" i="1"/>
  <c r="D57" i="1"/>
  <c r="E60" i="1"/>
  <c r="D55" i="1"/>
  <c r="G57" i="1"/>
  <c r="J60" i="1"/>
  <c r="I56" i="1"/>
  <c r="H55" i="1"/>
  <c r="F58" i="1"/>
  <c r="I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A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Equal to or less than Total Cows &amp; Heifers in cell E4.</t>
        </r>
      </text>
    </comment>
    <comment ref="A7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Percent of all Cows and Heifers that have left the herd for any reason.
</t>
        </r>
      </text>
    </comment>
    <comment ref="B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Number of Head (Rounded Down)
</t>
        </r>
      </text>
    </comment>
    <comment ref="B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Number Rounded Up when the fraction of a cow exceeds .25 Head</t>
        </r>
      </text>
    </comment>
    <comment ref="B1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33% of Bulls Culled Annually (Rounded Up)</t>
        </r>
      </text>
    </comment>
    <comment ref="B1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5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Marketing Charge is $3.00 per Head plus 2% of Gross Sale Proceeds.</t>
        </r>
      </text>
    </comment>
    <comment ref="B37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7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Marketing Charge is $3.50 per Head plus 2% of Gross Sale Proceeds.</t>
        </r>
      </text>
    </comment>
    <comment ref="F4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D7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Pregancy Checked Cows or 100% of Cow Herd</t>
        </r>
      </text>
    </comment>
    <comment ref="E70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Rounded Up at .25 Head</t>
        </r>
      </text>
    </comment>
    <comment ref="F70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G70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Rounded Up at .25 Head</t>
        </r>
      </text>
    </comment>
    <comment ref="H70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C72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Enter Weight of feed unit in Column C if purchased by the Bushel or CWT.</t>
        </r>
      </text>
    </comment>
    <comment ref="A73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Corn Silage Analysis
DM   35%
CP    8.5%
TDN 69%</t>
        </r>
      </text>
    </comment>
    <comment ref="A74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5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6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D89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BQA = Beef Quality Assured</t>
        </r>
      </text>
    </comment>
    <comment ref="D90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D92" authorId="0" shapeId="0" xr:uid="{00000000-0006-0000-0000-00001C000000}">
      <text>
        <r>
          <rPr>
            <sz val="8"/>
            <color indexed="81"/>
            <rFont val="Tahoma"/>
            <family val="2"/>
          </rPr>
          <t xml:space="preserve">Research at Virginia Tech has shown that de-worming mature cows is not a cost effective practice.
</t>
        </r>
      </text>
    </comment>
    <comment ref="D93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Dosage: 3 ml. per 100 lbs.
Do not exceed 30 ml per head</t>
        </r>
      </text>
    </comment>
    <comment ref="F96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GnRH system using Contracted Technicians</t>
        </r>
      </text>
    </comment>
    <comment ref="F97" authorId="0" shapeId="0" xr:uid="{00000000-0006-0000-0000-00001F000000}">
      <text>
        <r>
          <rPr>
            <sz val="8"/>
            <color indexed="81"/>
            <rFont val="Tahoma"/>
            <family val="2"/>
          </rPr>
          <t>Average Cost to Pregnancy Check 100 Cows at 1 time.</t>
        </r>
      </text>
    </comment>
    <comment ref="A99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Rounded Up at .25 Head.</t>
        </r>
      </text>
    </comment>
    <comment ref="D100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Follow label requirements.</t>
        </r>
      </text>
    </comment>
    <comment ref="A108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Given between 4 and 12 months of age.</t>
        </r>
      </text>
    </comment>
    <comment ref="F116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>GnRH system using Contracted Technicians</t>
        </r>
      </text>
    </comment>
    <comment ref="F117" authorId="0" shapeId="0" xr:uid="{00000000-0006-0000-0000-000024000000}">
      <text>
        <r>
          <rPr>
            <sz val="8"/>
            <color indexed="81"/>
            <rFont val="Tahoma"/>
            <family val="2"/>
          </rPr>
          <t>Average Cost to Pregnancy Check 100 Cows at 1 time.</t>
        </r>
      </text>
    </comment>
  </commentList>
</comments>
</file>

<file path=xl/sharedStrings.xml><?xml version="1.0" encoding="utf-8"?>
<sst xmlns="http://schemas.openxmlformats.org/spreadsheetml/2006/main" count="425" uniqueCount="160">
  <si>
    <t xml:space="preserve">PUBLICATION 446-048  </t>
  </si>
  <si>
    <t/>
  </si>
  <si>
    <t>COWS &amp; BRED HEIFERS</t>
  </si>
  <si>
    <t>% CONCEPTION RATE</t>
  </si>
  <si>
    <t>% WEANED CALVES PER COW EXPOSED</t>
  </si>
  <si>
    <t>COWS PER BULL</t>
  </si>
  <si>
    <t>% of Heifers Weaned Kept as Replacements</t>
  </si>
  <si>
    <t>% ANNUAL CULLING RATE</t>
  </si>
  <si>
    <t>% ANNUAL COW DEATH LOSS</t>
  </si>
  <si>
    <t>ITEM</t>
  </si>
  <si>
    <t>HEAD</t>
  </si>
  <si>
    <t>CWT</t>
  </si>
  <si>
    <t>UNIT</t>
  </si>
  <si>
    <t>PRICE</t>
  </si>
  <si>
    <t>QUANTITY</t>
  </si>
  <si>
    <t>TOTAL</t>
  </si>
  <si>
    <t>Caretaker</t>
  </si>
  <si>
    <t>1. GROSS RECEIPTS</t>
  </si>
  <si>
    <t>Percentage</t>
  </si>
  <si>
    <t xml:space="preserve"> Steers </t>
  </si>
  <si>
    <t>@</t>
  </si>
  <si>
    <t>Cwt</t>
  </si>
  <si>
    <t xml:space="preserve"> Heifers</t>
  </si>
  <si>
    <t xml:space="preserve"> Cull Cows &amp; Heifers</t>
  </si>
  <si>
    <t xml:space="preserve"> __________</t>
  </si>
  <si>
    <t xml:space="preserve"> Cull Bull </t>
  </si>
  <si>
    <t>2. TOTAL GROSS RECEIPTS</t>
  </si>
  <si>
    <t>Per Cow</t>
  </si>
  <si>
    <t>3. VARIABLE COSTS</t>
  </si>
  <si>
    <t>Feed Loss</t>
  </si>
  <si>
    <t xml:space="preserve"> Grinding &amp; Mixing</t>
  </si>
  <si>
    <t xml:space="preserve"> Salt &amp; Mineral</t>
  </si>
  <si>
    <t>Lbs per Cow</t>
  </si>
  <si>
    <t xml:space="preserve"> Vet &amp; Medicine</t>
  </si>
  <si>
    <t>$/Head</t>
  </si>
  <si>
    <t>Head</t>
  </si>
  <si>
    <t xml:space="preserve"> Supplies</t>
  </si>
  <si>
    <t xml:space="preserve"> Replacement Bull</t>
  </si>
  <si>
    <t xml:space="preserve"> Stockpiled Pasture</t>
  </si>
  <si>
    <t>Acres per Cow</t>
  </si>
  <si>
    <t>Acre</t>
  </si>
  <si>
    <t xml:space="preserve"> Pasture</t>
  </si>
  <si>
    <t>Pasture Rent</t>
  </si>
  <si>
    <t xml:space="preserve"> Haul Cull Cattle</t>
  </si>
  <si>
    <t xml:space="preserve"> Market Cull Cattle</t>
  </si>
  <si>
    <t xml:space="preserve"> Haul Calves</t>
  </si>
  <si>
    <t xml:space="preserve"> Market Calves</t>
  </si>
  <si>
    <t xml:space="preserve"> Building &amp; Fence Repairs</t>
  </si>
  <si>
    <t xml:space="preserve"> Utilities</t>
  </si>
  <si>
    <t xml:space="preserve"> Other,(insurance etc.)</t>
  </si>
  <si>
    <t xml:space="preserve"> Machinery (Non-Crop)</t>
  </si>
  <si>
    <t xml:space="preserve"> Labor</t>
  </si>
  <si>
    <t>Hours per Cow</t>
  </si>
  <si>
    <t>Hours</t>
  </si>
  <si>
    <t xml:space="preserve"> Operating Interest</t>
  </si>
  <si>
    <t>Months</t>
  </si>
  <si>
    <t>Dollars</t>
  </si>
  <si>
    <t>4. TOTAL VARIABLE COSTS</t>
  </si>
  <si>
    <t>5. ANNUAL DEBT PAYMENTS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</si>
  <si>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</si>
  <si>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</si>
  <si>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</si>
  <si>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Cow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</si>
  <si>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</si>
  <si>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</si>
  <si>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</si>
  <si>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</si>
  <si>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</si>
  <si>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</si>
  <si>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</si>
  <si>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</si>
  <si>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Yearling</t>
  </si>
  <si>
    <t xml:space="preserve"> </t>
  </si>
  <si>
    <t>Heifers</t>
  </si>
  <si>
    <t>Total</t>
  </si>
  <si>
    <t>Number Head =</t>
  </si>
  <si>
    <t>Quantity</t>
  </si>
  <si>
    <t xml:space="preserve"> Feed</t>
  </si>
  <si>
    <t>Days Fed =</t>
  </si>
  <si>
    <t>(Tons)</t>
  </si>
  <si>
    <t>Unit</t>
  </si>
  <si>
    <t>Lbs/Head/Day</t>
  </si>
  <si>
    <t xml:space="preserve"> Alfalfa Hay, Bloom</t>
  </si>
  <si>
    <t xml:space="preserve"> Mixed Hay, 2nd Cutting</t>
  </si>
  <si>
    <t xml:space="preserve"> Grass Hay, Average</t>
  </si>
  <si>
    <t xml:space="preserve"> Corn Grain</t>
  </si>
  <si>
    <t xml:space="preserve"> SBOM 48%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</si>
  <si>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</si>
  <si>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</si>
  <si>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</si>
  <si>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</si>
  <si>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</si>
  <si>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</si>
  <si>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</si>
  <si>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</si>
  <si>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Beef</t>
  </si>
  <si>
    <t>Payment</t>
  </si>
  <si>
    <t xml:space="preserve"> Item Name</t>
  </si>
  <si>
    <t xml:space="preserve">       TOTAL ANNUAL DEBT PAYMENTS</t>
  </si>
  <si>
    <t xml:space="preserve"> 10. ANIMAL HEALTH PROGRAM</t>
  </si>
  <si>
    <t xml:space="preserve"> (BQA)</t>
  </si>
  <si>
    <t>COWS</t>
  </si>
  <si>
    <t>BULLS</t>
  </si>
  <si>
    <t>Fly Tags</t>
  </si>
  <si>
    <t>Tags  @</t>
  </si>
  <si>
    <t>/Each</t>
  </si>
  <si>
    <t>Pour-on De-wormer</t>
  </si>
  <si>
    <t>Lbs</t>
  </si>
  <si>
    <t>ml./100 lbs</t>
  </si>
  <si>
    <t>/Liter</t>
  </si>
  <si>
    <t>Pour-on De-licer</t>
  </si>
  <si>
    <t>Clostridium Diseases</t>
  </si>
  <si>
    <t>Dose @</t>
  </si>
  <si>
    <t>/Dose</t>
  </si>
  <si>
    <t>IBR PI3 BVD BRSV + Lepto + Vibrio</t>
  </si>
  <si>
    <t>Estrus Syncronization / AI</t>
  </si>
  <si>
    <t>AI Breeding</t>
  </si>
  <si>
    <t>/Head</t>
  </si>
  <si>
    <t>Pregnancy Check</t>
  </si>
  <si>
    <t>Checks @</t>
  </si>
  <si>
    <t>SUB-TOTAL COWS &amp; BULLS</t>
  </si>
  <si>
    <t>CALVES</t>
  </si>
  <si>
    <t>Clostridium Diseases + Pasteurella</t>
  </si>
  <si>
    <t>IBR PI3 BVD BRSV + Lepto</t>
  </si>
  <si>
    <t>Selenium</t>
  </si>
  <si>
    <t>Implant Steers</t>
  </si>
  <si>
    <t>Implants  @</t>
  </si>
  <si>
    <t>/ Implant</t>
  </si>
  <si>
    <t>SUB-TOTAL CALVES</t>
  </si>
  <si>
    <t>REPLACEMENT HEIFERS</t>
  </si>
  <si>
    <t>Bangs Vaccination (RB-51)</t>
  </si>
  <si>
    <t>SUB-TOTAL REPLACEMENT HEIFERS</t>
  </si>
  <si>
    <t>FIRST CALF HEIFERS</t>
  </si>
  <si>
    <t xml:space="preserve">  All other costs included with cows.</t>
  </si>
  <si>
    <t>SUB-TOTAL FIRST CALF HEIFERS</t>
  </si>
  <si>
    <t>Your Farm Veterinarian</t>
  </si>
  <si>
    <t>Trip(s) @</t>
  </si>
  <si>
    <t>Per Trip</t>
  </si>
  <si>
    <t>.</t>
  </si>
  <si>
    <t>( Includes Breeding Soundness Exam on Bulls )</t>
  </si>
  <si>
    <t>TOTAL HEALTH COST FOR HERD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</si>
  <si>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</si>
  <si>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</si>
  <si>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Caretaker:</t>
  </si>
  <si>
    <t>Owner:</t>
  </si>
  <si>
    <t xml:space="preserve"> Replacement Heifers</t>
  </si>
  <si>
    <t>Beef Cow-Calf Herd On-Shares</t>
  </si>
  <si>
    <t>*this is a budget template tool.  User must update/confirm values</t>
  </si>
  <si>
    <t>Blue Numbers are variables user can change to customize the budget to their situation, changing other numbers will destroy formulas and compromise spreadsheet functionality.</t>
  </si>
  <si>
    <t>Pasture Dry Matter</t>
  </si>
  <si>
    <t>Other</t>
  </si>
  <si>
    <t>Cattle</t>
  </si>
  <si>
    <t>Cows Late Gestation</t>
  </si>
  <si>
    <t>Cows Early Lactation</t>
  </si>
  <si>
    <t>Cows Late Lactation/Early Pregnancy</t>
  </si>
  <si>
    <r>
      <t>1</t>
    </r>
    <r>
      <rPr>
        <vertAlign val="superscript"/>
        <sz val="10"/>
        <color rgb="FF0000FF"/>
        <rFont val="Arial"/>
        <family val="2"/>
      </rPr>
      <t>st</t>
    </r>
    <r>
      <rPr>
        <sz val="10"/>
        <color rgb="FF0000FF"/>
        <rFont val="Arial"/>
        <family val="2"/>
      </rPr>
      <t xml:space="preserve"> Calf</t>
    </r>
  </si>
  <si>
    <t>Commodity Pellet</t>
  </si>
  <si>
    <t>Net to Caretaker:**</t>
  </si>
  <si>
    <t>Net to Owner:**</t>
  </si>
  <si>
    <t>** change to equity stake in breeding stock is an essential consideration not addressed in this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</si>
</sst>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0_)"/>
    <numFmt numFmtId="166" formatCode="0.0_)"/>
    <numFmt numFmtId="167" formatCode="mm/dd/yy_)"/>
    <numFmt numFmtId="168" formatCode="0_);\(0\)"/>
    <numFmt numFmtId="169" formatCode="0.00_)"/>
    <numFmt numFmtId="170" formatCode="0.0%"/>
    <numFmt numFmtId="171" formatCode="0.00_);\(0.00\)"/>
    <numFmt numFmtId="172" formatCode="General_)"/>
    <numFmt numFmtId="173" formatCode="&quot;$&quot;#,##0.00;[Red]&quot;$&quot;#,##0.00"/>
    <numFmt numFmtId="174" formatCode="dd\-mmm\-yy_)"/>
  </numFmts>
  <fonts count="42" x14ac:knownFonts="1">
    <font>
      <sz val="12"/>
      <color indexed="8"/>
      <name val="Arial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7"/>
      <color indexed="8"/>
      <name val="Arial"/>
      <family val="2"/>
    </font>
    <font>
      <b/>
      <sz val="10"/>
      <color rgb="FF006600"/>
      <name val="Arial"/>
      <family val="2"/>
    </font>
    <font>
      <sz val="10"/>
      <color rgb="FFFF0000"/>
      <name val="Arial"/>
      <family val="2"/>
    </font>
    <font>
      <b/>
      <u/>
      <sz val="10"/>
      <color indexed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u/>
      <sz val="9"/>
      <color indexed="8"/>
      <name val="Arial"/>
      <family val="2"/>
    </font>
    <font>
      <b/>
      <sz val="8"/>
      <name val="Arial Narrow"/>
      <family val="2"/>
    </font>
    <font>
      <sz val="8"/>
      <color rgb="FF070BB9"/>
      <name val="Arial"/>
      <family val="2"/>
    </font>
    <font>
      <sz val="10"/>
      <color rgb="FF0000FF"/>
      <name val="Arial"/>
      <family val="2"/>
    </font>
    <font>
      <vertAlign val="superscript"/>
      <sz val="10"/>
      <color rgb="FF0000FF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2" fontId="0" fillId="0" borderId="0"/>
  </cellStyleXfs>
  <cellXfs count="190">
    <xf numFmtId="2" fontId="0" fillId="0" borderId="0" xfId="0"/>
    <xf numFmtId="2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2" borderId="0" xfId="0" applyFont="1" applyFill="1" applyProtection="1">
      <protection locked="0"/>
    </xf>
    <xf numFmtId="0" fontId="2" fillId="3" borderId="0" xfId="0" applyNumberFormat="1" applyFont="1" applyFill="1" applyAlignment="1">
      <alignment horizontal="center"/>
    </xf>
    <xf numFmtId="2" fontId="3" fillId="3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2" fontId="4" fillId="3" borderId="0" xfId="0" applyFont="1" applyFill="1" applyAlignment="1" applyProtection="1">
      <alignment horizontal="right"/>
      <protection locked="0"/>
    </xf>
    <xf numFmtId="2" fontId="1" fillId="0" borderId="0" xfId="0" applyFont="1" applyAlignment="1">
      <alignment horizontal="fill"/>
    </xf>
    <xf numFmtId="2" fontId="3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2" fontId="7" fillId="0" borderId="0" xfId="0" applyFont="1" applyAlignment="1">
      <alignment horizontal="left"/>
    </xf>
    <xf numFmtId="2" fontId="8" fillId="0" borderId="0" xfId="0" applyFont="1"/>
    <xf numFmtId="1" fontId="9" fillId="0" borderId="0" xfId="0" applyNumberFormat="1" applyFont="1" applyProtection="1">
      <protection locked="0"/>
    </xf>
    <xf numFmtId="2" fontId="7" fillId="0" borderId="0" xfId="0" applyFont="1"/>
    <xf numFmtId="166" fontId="6" fillId="0" borderId="0" xfId="0" applyNumberFormat="1" applyFont="1" applyProtection="1">
      <protection locked="0"/>
    </xf>
    <xf numFmtId="165" fontId="7" fillId="0" borderId="0" xfId="0" applyNumberFormat="1" applyFont="1"/>
    <xf numFmtId="167" fontId="11" fillId="0" borderId="0" xfId="0" applyNumberFormat="1" applyFont="1" applyProtection="1">
      <protection locked="0"/>
    </xf>
    <xf numFmtId="2" fontId="8" fillId="0" borderId="1" xfId="0" applyFont="1" applyBorder="1" applyAlignment="1">
      <alignment horizontal="left"/>
    </xf>
    <xf numFmtId="2" fontId="8" fillId="0" borderId="1" xfId="0" applyFont="1" applyBorder="1" applyAlignment="1">
      <alignment horizontal="right"/>
    </xf>
    <xf numFmtId="2" fontId="12" fillId="0" borderId="1" xfId="0" applyFont="1" applyBorder="1"/>
    <xf numFmtId="2" fontId="8" fillId="0" borderId="1" xfId="0" applyFont="1" applyBorder="1" applyAlignment="1">
      <alignment horizontal="center"/>
    </xf>
    <xf numFmtId="2" fontId="8" fillId="0" borderId="1" xfId="0" applyFont="1" applyBorder="1"/>
    <xf numFmtId="2" fontId="13" fillId="2" borderId="0" xfId="0" applyFont="1" applyFill="1" applyProtection="1">
      <protection locked="0"/>
    </xf>
    <xf numFmtId="2" fontId="12" fillId="0" borderId="0" xfId="0" applyFont="1"/>
    <xf numFmtId="2" fontId="8" fillId="0" borderId="0" xfId="0" applyFont="1" applyAlignment="1">
      <alignment horizontal="center"/>
    </xf>
    <xf numFmtId="2" fontId="8" fillId="0" borderId="0" xfId="0" applyFont="1" applyAlignment="1">
      <alignment horizontal="left"/>
    </xf>
    <xf numFmtId="168" fontId="8" fillId="0" borderId="0" xfId="0" quotePrefix="1" applyNumberFormat="1" applyFont="1"/>
    <xf numFmtId="165" fontId="8" fillId="0" borderId="0" xfId="0" applyNumberFormat="1" applyFont="1" applyAlignment="1">
      <alignment horizontal="left"/>
    </xf>
    <xf numFmtId="169" fontId="11" fillId="0" borderId="0" xfId="0" applyNumberFormat="1" applyFont="1" applyProtection="1">
      <protection locked="0"/>
    </xf>
    <xf numFmtId="7" fontId="11" fillId="0" borderId="0" xfId="0" applyNumberFormat="1" applyFont="1" applyProtection="1">
      <protection locked="0"/>
    </xf>
    <xf numFmtId="169" fontId="8" fillId="0" borderId="0" xfId="0" applyNumberFormat="1" applyFont="1"/>
    <xf numFmtId="7" fontId="8" fillId="0" borderId="0" xfId="0" applyNumberFormat="1" applyFont="1"/>
    <xf numFmtId="164" fontId="8" fillId="0" borderId="0" xfId="0" applyNumberFormat="1" applyFont="1" applyAlignment="1">
      <alignment horizontal="center"/>
    </xf>
    <xf numFmtId="165" fontId="8" fillId="0" borderId="0" xfId="0" applyNumberFormat="1" applyFont="1"/>
    <xf numFmtId="2" fontId="1" fillId="0" borderId="0" xfId="0" applyFont="1"/>
    <xf numFmtId="0" fontId="1" fillId="0" borderId="0" xfId="0" applyNumberFormat="1" applyFont="1"/>
    <xf numFmtId="2" fontId="11" fillId="0" borderId="0" xfId="0" applyFont="1" applyProtection="1">
      <protection locked="0"/>
    </xf>
    <xf numFmtId="7" fontId="7" fillId="0" borderId="0" xfId="0" applyNumberFormat="1" applyFont="1"/>
    <xf numFmtId="170" fontId="11" fillId="0" borderId="0" xfId="0" applyNumberFormat="1" applyFont="1" applyAlignment="1" applyProtection="1">
      <alignment horizontal="center"/>
      <protection locked="0"/>
    </xf>
    <xf numFmtId="2" fontId="8" fillId="0" borderId="0" xfId="0" quotePrefix="1" applyFont="1" applyAlignment="1">
      <alignment horizontal="center"/>
    </xf>
    <xf numFmtId="169" fontId="8" fillId="0" borderId="0" xfId="0" quotePrefix="1" applyNumberFormat="1" applyFont="1"/>
    <xf numFmtId="7" fontId="14" fillId="0" borderId="0" xfId="0" applyNumberFormat="1" applyFont="1"/>
    <xf numFmtId="171" fontId="11" fillId="0" borderId="2" xfId="0" applyNumberFormat="1" applyFont="1" applyBorder="1"/>
    <xf numFmtId="172" fontId="8" fillId="0" borderId="0" xfId="0" applyNumberFormat="1" applyFont="1"/>
    <xf numFmtId="7" fontId="15" fillId="0" borderId="0" xfId="0" applyNumberFormat="1" applyFont="1"/>
    <xf numFmtId="171" fontId="11" fillId="0" borderId="3" xfId="0" applyNumberFormat="1" applyFont="1" applyBorder="1"/>
    <xf numFmtId="171" fontId="6" fillId="0" borderId="3" xfId="0" applyNumberFormat="1" applyFont="1" applyBorder="1"/>
    <xf numFmtId="2" fontId="7" fillId="0" borderId="0" xfId="0" applyFont="1" applyAlignment="1">
      <alignment horizontal="center"/>
    </xf>
    <xf numFmtId="7" fontId="16" fillId="0" borderId="0" xfId="0" applyNumberFormat="1" applyFont="1" applyProtection="1">
      <protection locked="0"/>
    </xf>
    <xf numFmtId="172" fontId="7" fillId="0" borderId="0" xfId="0" applyNumberFormat="1" applyFont="1"/>
    <xf numFmtId="168" fontId="11" fillId="0" borderId="2" xfId="0" applyNumberFormat="1" applyFont="1" applyBorder="1"/>
    <xf numFmtId="7" fontId="8" fillId="0" borderId="0" xfId="0" quotePrefix="1" applyNumberFormat="1" applyFont="1"/>
    <xf numFmtId="7" fontId="11" fillId="0" borderId="0" xfId="0" applyNumberFormat="1" applyFont="1" applyAlignment="1">
      <alignment horizontal="right"/>
    </xf>
    <xf numFmtId="172" fontId="8" fillId="0" borderId="0" xfId="0" applyNumberFormat="1" applyFont="1" applyAlignment="1">
      <alignment horizontal="right"/>
    </xf>
    <xf numFmtId="2" fontId="17" fillId="0" borderId="0" xfId="0" applyFont="1" applyAlignment="1">
      <alignment horizontal="left"/>
    </xf>
    <xf numFmtId="168" fontId="18" fillId="0" borderId="2" xfId="0" applyNumberFormat="1" applyFont="1" applyBorder="1" applyAlignment="1" applyProtection="1">
      <alignment horizontal="right"/>
      <protection locked="0"/>
    </xf>
    <xf numFmtId="2" fontId="17" fillId="0" borderId="0" xfId="0" applyFont="1"/>
    <xf numFmtId="2" fontId="19" fillId="0" borderId="0" xfId="0" applyFont="1" applyProtection="1">
      <protection locked="0"/>
    </xf>
    <xf numFmtId="2" fontId="17" fillId="0" borderId="0" xfId="0" applyFont="1" applyAlignment="1">
      <alignment horizontal="center"/>
    </xf>
    <xf numFmtId="7" fontId="18" fillId="0" borderId="0" xfId="0" applyNumberFormat="1" applyFont="1" applyProtection="1">
      <protection locked="0"/>
    </xf>
    <xf numFmtId="172" fontId="17" fillId="0" borderId="0" xfId="0" applyNumberFormat="1" applyFont="1"/>
    <xf numFmtId="7" fontId="20" fillId="0" borderId="0" xfId="0" applyNumberFormat="1" applyFont="1"/>
    <xf numFmtId="168" fontId="11" fillId="0" borderId="2" xfId="0" applyNumberFormat="1" applyFont="1" applyBorder="1" applyAlignment="1">
      <alignment horizontal="right"/>
    </xf>
    <xf numFmtId="10" fontId="11" fillId="0" borderId="0" xfId="0" applyNumberFormat="1" applyFont="1" applyAlignment="1" applyProtection="1">
      <alignment horizontal="left"/>
      <protection locked="0"/>
    </xf>
    <xf numFmtId="10" fontId="11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7" fontId="7" fillId="0" borderId="0" xfId="0" applyNumberFormat="1" applyFont="1" applyAlignment="1">
      <alignment vertical="center"/>
    </xf>
    <xf numFmtId="2" fontId="7" fillId="0" borderId="0" xfId="0" applyFont="1" applyAlignment="1">
      <alignment vertical="center"/>
    </xf>
    <xf numFmtId="2" fontId="7" fillId="0" borderId="4" xfId="0" applyFont="1" applyBorder="1" applyAlignment="1">
      <alignment horizontal="left" vertical="center"/>
    </xf>
    <xf numFmtId="2" fontId="10" fillId="4" borderId="4" xfId="0" applyFont="1" applyFill="1" applyBorder="1" applyAlignment="1" applyProtection="1">
      <alignment vertical="center"/>
      <protection locked="0"/>
    </xf>
    <xf numFmtId="1" fontId="1" fillId="0" borderId="0" xfId="0" applyNumberFormat="1" applyFont="1"/>
    <xf numFmtId="2" fontId="8" fillId="0" borderId="0" xfId="0" applyFont="1" applyAlignment="1">
      <alignment horizontal="center" textRotation="90"/>
    </xf>
    <xf numFmtId="9" fontId="8" fillId="0" borderId="5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8" fontId="8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center"/>
    </xf>
    <xf numFmtId="2" fontId="1" fillId="0" borderId="5" xfId="0" applyFont="1" applyBorder="1" applyProtection="1">
      <protection locked="0"/>
    </xf>
    <xf numFmtId="9" fontId="11" fillId="0" borderId="0" xfId="0" applyNumberFormat="1" applyFont="1" applyAlignment="1">
      <alignment horizontal="center"/>
    </xf>
    <xf numFmtId="173" fontId="8" fillId="0" borderId="0" xfId="0" applyNumberFormat="1" applyFont="1" applyAlignment="1">
      <alignment horizontal="left"/>
    </xf>
    <xf numFmtId="173" fontId="8" fillId="0" borderId="0" xfId="0" applyNumberFormat="1" applyFont="1" applyAlignment="1">
      <alignment horizontal="center"/>
    </xf>
    <xf numFmtId="2" fontId="1" fillId="0" borderId="4" xfId="0" applyFont="1" applyBorder="1" applyProtection="1">
      <protection locked="0"/>
    </xf>
    <xf numFmtId="9" fontId="8" fillId="0" borderId="4" xfId="0" applyNumberFormat="1" applyFont="1" applyBorder="1" applyAlignment="1">
      <alignment horizontal="center"/>
    </xf>
    <xf numFmtId="169" fontId="8" fillId="0" borderId="4" xfId="0" applyNumberFormat="1" applyFont="1" applyBorder="1"/>
    <xf numFmtId="173" fontId="8" fillId="0" borderId="4" xfId="0" applyNumberFormat="1" applyFont="1" applyBorder="1" applyAlignment="1">
      <alignment horizontal="center"/>
    </xf>
    <xf numFmtId="2" fontId="22" fillId="0" borderId="1" xfId="0" applyFont="1" applyBorder="1"/>
    <xf numFmtId="2" fontId="22" fillId="0" borderId="1" xfId="0" applyFont="1" applyBorder="1" applyAlignment="1">
      <alignment horizontal="right" vertical="center"/>
    </xf>
    <xf numFmtId="2" fontId="22" fillId="0" borderId="0" xfId="0" applyFont="1" applyAlignment="1">
      <alignment horizontal="left"/>
    </xf>
    <xf numFmtId="2" fontId="8" fillId="0" borderId="0" xfId="0" applyFont="1" applyAlignment="1">
      <alignment horizontal="right"/>
    </xf>
    <xf numFmtId="2" fontId="11" fillId="0" borderId="0" xfId="0" applyFont="1" applyAlignment="1" applyProtection="1">
      <alignment horizontal="right"/>
      <protection locked="0"/>
    </xf>
    <xf numFmtId="174" fontId="8" fillId="0" borderId="0" xfId="0" applyNumberFormat="1" applyFont="1" applyAlignment="1">
      <alignment horizontal="left"/>
    </xf>
    <xf numFmtId="2" fontId="23" fillId="0" borderId="0" xfId="0" applyFont="1" applyAlignment="1" applyProtection="1">
      <alignment horizontal="right"/>
      <protection locked="0"/>
    </xf>
    <xf numFmtId="165" fontId="11" fillId="0" borderId="0" xfId="0" applyNumberFormat="1" applyFont="1" applyProtection="1">
      <protection locked="0"/>
    </xf>
    <xf numFmtId="2" fontId="8" fillId="0" borderId="5" xfId="0" applyFont="1" applyBorder="1" applyProtection="1">
      <protection locked="0"/>
    </xf>
    <xf numFmtId="165" fontId="11" fillId="0" borderId="5" xfId="0" applyNumberFormat="1" applyFont="1" applyBorder="1" applyProtection="1">
      <protection locked="0"/>
    </xf>
    <xf numFmtId="2" fontId="23" fillId="0" borderId="5" xfId="0" applyFont="1" applyBorder="1" applyAlignment="1" applyProtection="1">
      <alignment horizontal="right"/>
      <protection locked="0"/>
    </xf>
    <xf numFmtId="2" fontId="24" fillId="0" borderId="0" xfId="0" applyFont="1" applyAlignment="1">
      <alignment horizontal="right"/>
    </xf>
    <xf numFmtId="2" fontId="1" fillId="2" borderId="0" xfId="0" applyFont="1" applyFill="1"/>
    <xf numFmtId="2" fontId="11" fillId="0" borderId="0" xfId="0" applyFont="1" applyAlignment="1" applyProtection="1">
      <alignment horizontal="left"/>
      <protection locked="0"/>
    </xf>
    <xf numFmtId="2" fontId="25" fillId="0" borderId="0" xfId="0" applyFont="1" applyAlignment="1">
      <alignment horizontal="left"/>
    </xf>
    <xf numFmtId="1" fontId="26" fillId="0" borderId="0" xfId="0" applyNumberFormat="1" applyFont="1" applyAlignment="1">
      <alignment horizontal="center"/>
    </xf>
    <xf numFmtId="2" fontId="11" fillId="0" borderId="0" xfId="0" applyFont="1" applyAlignment="1">
      <alignment horizontal="left"/>
    </xf>
    <xf numFmtId="2" fontId="8" fillId="0" borderId="4" xfId="0" applyFont="1" applyBorder="1" applyAlignment="1">
      <alignment horizontal="fill"/>
    </xf>
    <xf numFmtId="169" fontId="8" fillId="0" borderId="0" xfId="0" applyNumberFormat="1" applyFont="1" applyAlignment="1">
      <alignment horizontal="right"/>
    </xf>
    <xf numFmtId="2" fontId="8" fillId="0" borderId="5" xfId="0" applyFont="1" applyBorder="1" applyAlignment="1">
      <alignment horizontal="left"/>
    </xf>
    <xf numFmtId="2" fontId="8" fillId="0" borderId="5" xfId="0" applyFont="1" applyBorder="1"/>
    <xf numFmtId="2" fontId="8" fillId="0" borderId="5" xfId="0" applyFont="1" applyBorder="1" applyAlignment="1">
      <alignment horizontal="right"/>
    </xf>
    <xf numFmtId="2" fontId="8" fillId="0" borderId="5" xfId="0" applyFont="1" applyBorder="1" applyAlignment="1">
      <alignment horizontal="center"/>
    </xf>
    <xf numFmtId="2" fontId="8" fillId="0" borderId="0" xfId="0" applyFont="1" applyAlignment="1">
      <alignment horizontal="fill"/>
    </xf>
    <xf numFmtId="37" fontId="11" fillId="0" borderId="0" xfId="0" applyNumberFormat="1" applyFont="1" applyProtection="1">
      <protection locked="0"/>
    </xf>
    <xf numFmtId="10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9" fontId="11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2" fontId="8" fillId="0" borderId="5" xfId="0" applyFont="1" applyBorder="1" applyAlignment="1">
      <alignment horizontal="fill"/>
    </xf>
    <xf numFmtId="7" fontId="11" fillId="0" borderId="5" xfId="0" applyNumberFormat="1" applyFont="1" applyBorder="1" applyProtection="1">
      <protection locked="0"/>
    </xf>
    <xf numFmtId="2" fontId="8" fillId="0" borderId="4" xfId="0" applyFont="1" applyBorder="1"/>
    <xf numFmtId="2" fontId="12" fillId="0" borderId="4" xfId="0" applyFont="1" applyBorder="1"/>
    <xf numFmtId="165" fontId="8" fillId="0" borderId="4" xfId="0" applyNumberFormat="1" applyFont="1" applyBorder="1"/>
    <xf numFmtId="5" fontId="7" fillId="0" borderId="4" xfId="0" applyNumberFormat="1" applyFont="1" applyBorder="1" applyAlignment="1">
      <alignment horizontal="left"/>
    </xf>
    <xf numFmtId="2" fontId="7" fillId="0" borderId="4" xfId="0" applyFont="1" applyBorder="1"/>
    <xf numFmtId="165" fontId="7" fillId="0" borderId="4" xfId="0" applyNumberFormat="1" applyFont="1" applyBorder="1"/>
    <xf numFmtId="7" fontId="7" fillId="0" borderId="4" xfId="0" applyNumberFormat="1" applyFont="1" applyBorder="1"/>
    <xf numFmtId="2" fontId="10" fillId="4" borderId="0" xfId="0" applyFont="1" applyFill="1" applyProtection="1">
      <protection locked="0"/>
    </xf>
    <xf numFmtId="2" fontId="12" fillId="0" borderId="0" xfId="0" applyFont="1" applyAlignment="1">
      <alignment horizontal="center"/>
    </xf>
    <xf numFmtId="2" fontId="0" fillId="2" borderId="0" xfId="0" applyFill="1"/>
    <xf numFmtId="39" fontId="11" fillId="0" borderId="0" xfId="0" applyNumberFormat="1" applyFont="1" applyProtection="1">
      <protection locked="0"/>
    </xf>
    <xf numFmtId="0" fontId="11" fillId="0" borderId="0" xfId="0" applyNumberFormat="1" applyFont="1" applyProtection="1">
      <protection locked="0"/>
    </xf>
    <xf numFmtId="2" fontId="1" fillId="0" borderId="0" xfId="0" applyFont="1" applyAlignment="1">
      <alignment horizontal="center"/>
    </xf>
    <xf numFmtId="39" fontId="8" fillId="0" borderId="5" xfId="0" applyNumberFormat="1" applyFont="1" applyBorder="1"/>
    <xf numFmtId="39" fontId="8" fillId="0" borderId="0" xfId="0" applyNumberFormat="1" applyFont="1"/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" fontId="1" fillId="2" borderId="0" xfId="0" applyNumberFormat="1" applyFont="1" applyFill="1" applyProtection="1">
      <protection locked="0"/>
    </xf>
    <xf numFmtId="39" fontId="8" fillId="0" borderId="0" xfId="0" applyNumberFormat="1" applyFont="1" applyAlignment="1">
      <alignment horizontal="left"/>
    </xf>
    <xf numFmtId="5" fontId="11" fillId="0" borderId="0" xfId="0" applyNumberFormat="1" applyFont="1" applyProtection="1">
      <protection locked="0"/>
    </xf>
    <xf numFmtId="2" fontId="7" fillId="0" borderId="0" xfId="0" applyFont="1" applyAlignment="1">
      <alignment horizontal="left" vertical="center"/>
    </xf>
    <xf numFmtId="2" fontId="1" fillId="0" borderId="0" xfId="0" applyFont="1" applyAlignment="1" applyProtection="1">
      <alignment horizontal="fill"/>
      <protection locked="0"/>
    </xf>
    <xf numFmtId="7" fontId="7" fillId="0" borderId="8" xfId="0" applyNumberFormat="1" applyFont="1" applyBorder="1" applyAlignment="1">
      <alignment vertical="center"/>
    </xf>
    <xf numFmtId="2" fontId="27" fillId="0" borderId="9" xfId="0" applyFont="1" applyBorder="1"/>
    <xf numFmtId="2" fontId="1" fillId="0" borderId="9" xfId="0" applyFont="1" applyBorder="1"/>
    <xf numFmtId="2" fontId="1" fillId="0" borderId="9" xfId="0" applyFont="1" applyBorder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Border="1"/>
    <xf numFmtId="2" fontId="0" fillId="0" borderId="10" xfId="0" applyBorder="1"/>
    <xf numFmtId="2" fontId="28" fillId="0" borderId="0" xfId="0" applyFont="1" applyAlignment="1">
      <alignment horizontal="center"/>
    </xf>
    <xf numFmtId="2" fontId="29" fillId="0" borderId="0" xfId="0" applyFont="1" applyProtection="1">
      <protection locked="0"/>
    </xf>
    <xf numFmtId="164" fontId="1" fillId="0" borderId="0" xfId="0" applyNumberFormat="1" applyFont="1" applyAlignment="1">
      <alignment horizontal="center"/>
    </xf>
    <xf numFmtId="2" fontId="27" fillId="0" borderId="0" xfId="0" applyFont="1" applyProtection="1">
      <protection locked="0"/>
    </xf>
    <xf numFmtId="2" fontId="17" fillId="0" borderId="1" xfId="0" applyFont="1" applyBorder="1" applyAlignment="1">
      <alignment horizontal="center"/>
    </xf>
    <xf numFmtId="164" fontId="27" fillId="0" borderId="0" xfId="0" applyNumberFormat="1" applyFont="1" applyProtection="1">
      <protection locked="0"/>
    </xf>
    <xf numFmtId="164" fontId="27" fillId="0" borderId="0" xfId="0" applyNumberFormat="1" applyFont="1"/>
    <xf numFmtId="2" fontId="32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33" fillId="0" borderId="0" xfId="0" applyFont="1" applyProtection="1">
      <protection locked="0"/>
    </xf>
    <xf numFmtId="7" fontId="7" fillId="0" borderId="0" xfId="0" applyNumberFormat="1" applyFont="1" applyAlignment="1">
      <alignment shrinkToFit="1"/>
    </xf>
    <xf numFmtId="2" fontId="8" fillId="0" borderId="0" xfId="0" applyFont="1" applyAlignment="1">
      <alignment horizontal="right"/>
    </xf>
    <xf numFmtId="2" fontId="1" fillId="4" borderId="0" xfId="0" applyFont="1" applyFill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2" fontId="1" fillId="4" borderId="0" xfId="0" applyFont="1" applyFill="1" applyProtection="1">
      <protection locked="0"/>
    </xf>
    <xf numFmtId="2" fontId="7" fillId="0" borderId="0" xfId="0" applyFont="1" applyAlignment="1">
      <alignment horizontal="left"/>
    </xf>
    <xf numFmtId="2" fontId="10" fillId="4" borderId="0" xfId="0" applyFont="1" applyFill="1" applyProtection="1">
      <protection locked="0"/>
    </xf>
    <xf numFmtId="2" fontId="8" fillId="0" borderId="0" xfId="0" applyFont="1"/>
    <xf numFmtId="2" fontId="7" fillId="0" borderId="0" xfId="0" applyFont="1"/>
    <xf numFmtId="2" fontId="17" fillId="0" borderId="0" xfId="0" applyFont="1"/>
    <xf numFmtId="2" fontId="8" fillId="0" borderId="0" xfId="0" applyFont="1" applyAlignment="1">
      <alignment horizontal="center"/>
    </xf>
    <xf numFmtId="9" fontId="21" fillId="0" borderId="6" xfId="0" quotePrefix="1" applyNumberFormat="1" applyFont="1" applyBorder="1" applyAlignment="1">
      <alignment horizontal="center"/>
    </xf>
    <xf numFmtId="9" fontId="21" fillId="0" borderId="6" xfId="0" applyNumberFormat="1" applyFont="1" applyBorder="1" applyAlignment="1">
      <alignment horizontal="center"/>
    </xf>
    <xf numFmtId="2" fontId="8" fillId="0" borderId="7" xfId="0" applyFont="1" applyBorder="1" applyAlignment="1">
      <alignment horizontal="center"/>
    </xf>
    <xf numFmtId="2" fontId="1" fillId="4" borderId="7" xfId="0" applyFont="1" applyFill="1" applyBorder="1" applyProtection="1">
      <protection locked="0"/>
    </xf>
    <xf numFmtId="2" fontId="22" fillId="0" borderId="1" xfId="0" applyFont="1" applyBorder="1" applyAlignment="1">
      <alignment vertical="center"/>
    </xf>
    <xf numFmtId="2" fontId="10" fillId="4" borderId="1" xfId="0" applyFont="1" applyFill="1" applyBorder="1" applyAlignment="1" applyProtection="1">
      <alignment vertical="center"/>
      <protection locked="0"/>
    </xf>
    <xf numFmtId="2" fontId="1" fillId="4" borderId="1" xfId="0" applyFont="1" applyFill="1" applyBorder="1" applyProtection="1">
      <protection locked="0"/>
    </xf>
    <xf numFmtId="2" fontId="11" fillId="0" borderId="0" xfId="0" applyFont="1" applyAlignment="1" applyProtection="1">
      <alignment horizontal="left"/>
      <protection locked="0"/>
    </xf>
    <xf numFmtId="2" fontId="1" fillId="4" borderId="0" xfId="0" applyFont="1" applyFill="1" applyAlignment="1" applyProtection="1">
      <alignment horizontal="left"/>
      <protection locked="0"/>
    </xf>
    <xf numFmtId="2" fontId="28" fillId="0" borderId="0" xfId="0" applyFont="1" applyAlignment="1">
      <alignment horizontal="center"/>
    </xf>
    <xf numFmtId="2" fontId="8" fillId="0" borderId="5" xfId="0" applyFont="1" applyBorder="1" applyAlignment="1">
      <alignment horizontal="right"/>
    </xf>
    <xf numFmtId="2" fontId="1" fillId="4" borderId="5" xfId="0" applyFont="1" applyFill="1" applyBorder="1" applyAlignment="1" applyProtection="1">
      <alignment horizontal="right"/>
      <protection locked="0"/>
    </xf>
    <xf numFmtId="0" fontId="34" fillId="0" borderId="0" xfId="0" applyNumberFormat="1" applyFont="1" applyAlignment="1">
      <alignment horizontal="center" wrapText="1"/>
    </xf>
    <xf numFmtId="2" fontId="35" fillId="0" borderId="0" xfId="0" applyFont="1" applyAlignment="1" applyProtection="1">
      <alignment horizontal="left" wrapText="1"/>
      <protection locked="0"/>
    </xf>
    <xf numFmtId="2" fontId="36" fillId="0" borderId="0" xfId="0" applyFont="1"/>
    <xf numFmtId="2" fontId="36" fillId="0" borderId="0" xfId="0" applyFont="1" applyAlignment="1">
      <alignment horizontal="right"/>
    </xf>
    <xf numFmtId="2" fontId="38" fillId="0" borderId="0" xfId="0" applyFont="1" applyAlignment="1">
      <alignment horizontal="right" wrapText="1"/>
    </xf>
    <xf numFmtId="165" fontId="36" fillId="0" borderId="0" xfId="0" applyNumberFormat="1" applyFont="1"/>
    <xf numFmtId="42" fontId="8" fillId="0" borderId="0" xfId="0" applyNumberFormat="1" applyFont="1" applyAlignment="1">
      <alignment shrinkToFit="1"/>
    </xf>
    <xf numFmtId="2" fontId="39" fillId="0" borderId="4" xfId="0" applyFont="1" applyBorder="1" applyAlignment="1">
      <alignment vertical="center" wrapText="1"/>
    </xf>
    <xf numFmtId="2" fontId="39" fillId="0" borderId="0" xfId="0" applyFont="1" applyAlignment="1">
      <alignment horizontal="left" vertical="center"/>
    </xf>
    <xf numFmtId="2" fontId="40" fillId="4" borderId="0" xfId="0" applyFont="1" applyFill="1" applyAlignment="1" applyProtection="1">
      <alignment vertical="center"/>
      <protection locked="0"/>
    </xf>
    <xf numFmtId="172" fontId="36" fillId="0" borderId="0" xfId="0" applyNumberFormat="1" applyFont="1"/>
    <xf numFmtId="9" fontId="41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47625</xdr:colOff>
      <xdr:row>0</xdr:row>
      <xdr:rowOff>828675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5430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Z221"/>
  <sheetViews>
    <sheetView tabSelected="1" zoomScale="136" zoomScaleNormal="136" zoomScaleSheetLayoutView="75" workbookViewId="0">
      <selection activeCell="D12" sqref="D12"/>
    </sheetView>
  </sheetViews>
  <sheetFormatPr defaultColWidth="9.7265625" defaultRowHeight="15" x14ac:dyDescent="0.25"/>
  <cols>
    <col min="1" max="1" width="17.7265625" style="1" customWidth="1"/>
    <col min="2" max="2" width="8.54296875" style="1" customWidth="1"/>
    <col min="3" max="3" width="2.7265625" style="1" customWidth="1"/>
    <col min="4" max="5" width="8.7265625" style="1" customWidth="1"/>
    <col min="6" max="6" width="8.7265625" style="2" customWidth="1"/>
    <col min="7" max="7" width="8.7265625" style="1" customWidth="1"/>
    <col min="8" max="8" width="7.54296875" style="1" customWidth="1"/>
    <col min="9" max="9" width="9.54296875" style="1" customWidth="1"/>
    <col min="10" max="10" width="12.7265625" style="1" customWidth="1"/>
    <col min="11" max="11" width="5.7265625" style="1" customWidth="1"/>
    <col min="12" max="14" width="9.7265625" style="1" customWidth="1"/>
    <col min="15" max="15" width="7.7265625" style="1" customWidth="1"/>
    <col min="16" max="16" width="9.7265625" style="1" customWidth="1"/>
    <col min="17" max="17" width="10.7265625" style="1" customWidth="1"/>
    <col min="18" max="16384" width="9.7265625" style="1"/>
  </cols>
  <sheetData>
    <row r="1" spans="1:26" ht="75.75" customHeight="1" x14ac:dyDescent="0.25">
      <c r="K1" s="3"/>
    </row>
    <row r="2" spans="1:26" ht="19.5" customHeight="1" x14ac:dyDescent="0.35">
      <c r="A2" s="4">
        <v>2024</v>
      </c>
      <c r="B2" s="5"/>
      <c r="C2" s="5"/>
      <c r="D2" s="5"/>
      <c r="E2" s="5"/>
      <c r="F2" s="6"/>
      <c r="G2" s="5"/>
      <c r="H2" s="7"/>
      <c r="I2" s="7"/>
      <c r="J2" s="7" t="s">
        <v>0</v>
      </c>
      <c r="K2" s="3"/>
      <c r="U2" s="8" t="s">
        <v>1</v>
      </c>
    </row>
    <row r="3" spans="1:26" ht="27" customHeight="1" x14ac:dyDescent="0.4">
      <c r="A3" s="158" t="s">
        <v>146</v>
      </c>
      <c r="B3" s="159"/>
      <c r="C3" s="159"/>
      <c r="D3" s="159"/>
      <c r="E3" s="159"/>
      <c r="F3" s="159"/>
      <c r="G3" s="159"/>
      <c r="H3" s="159"/>
      <c r="I3" s="159"/>
      <c r="J3" s="159"/>
      <c r="K3" s="3"/>
      <c r="U3" s="8"/>
    </row>
    <row r="4" spans="1:26" ht="42" customHeight="1" x14ac:dyDescent="0.25">
      <c r="A4" s="178" t="s">
        <v>147</v>
      </c>
      <c r="B4" s="9"/>
      <c r="C4" s="9"/>
      <c r="D4" s="10">
        <v>100</v>
      </c>
      <c r="E4" s="11" t="s">
        <v>2</v>
      </c>
      <c r="G4" s="2"/>
      <c r="H4" s="179" t="s">
        <v>148</v>
      </c>
      <c r="I4" s="179"/>
      <c r="J4" s="179"/>
      <c r="K4" s="3"/>
      <c r="U4" s="8"/>
    </row>
    <row r="5" spans="1:26" ht="19.5" customHeight="1" x14ac:dyDescent="0.25">
      <c r="A5" s="10">
        <v>94</v>
      </c>
      <c r="B5" s="11" t="s">
        <v>3</v>
      </c>
      <c r="F5" s="1"/>
      <c r="G5" s="10">
        <v>93</v>
      </c>
      <c r="H5" s="11" t="s">
        <v>4</v>
      </c>
      <c r="I5" s="12"/>
      <c r="J5" s="12"/>
      <c r="K5" s="3"/>
      <c r="M5" s="8"/>
      <c r="U5" s="8"/>
    </row>
    <row r="6" spans="1:26" ht="19.5" customHeight="1" x14ac:dyDescent="0.25">
      <c r="A6" s="10">
        <v>40</v>
      </c>
      <c r="B6" s="11" t="s">
        <v>5</v>
      </c>
      <c r="C6" s="2"/>
      <c r="D6" s="13"/>
      <c r="G6" s="10">
        <v>0</v>
      </c>
      <c r="H6" s="11" t="s">
        <v>6</v>
      </c>
      <c r="I6" s="12"/>
      <c r="J6" s="12"/>
      <c r="K6" s="3"/>
      <c r="M6" s="8"/>
      <c r="U6" s="8"/>
    </row>
    <row r="7" spans="1:26" ht="19.5" customHeight="1" x14ac:dyDescent="0.3">
      <c r="A7" s="10">
        <v>15</v>
      </c>
      <c r="B7" s="160" t="s">
        <v>7</v>
      </c>
      <c r="C7" s="161"/>
      <c r="D7" s="161"/>
      <c r="E7" s="14"/>
      <c r="F7" s="14"/>
      <c r="G7" s="15">
        <v>1</v>
      </c>
      <c r="H7" s="11" t="s">
        <v>8</v>
      </c>
      <c r="I7" s="16"/>
      <c r="J7" s="12"/>
      <c r="K7" s="3"/>
      <c r="M7" s="8"/>
      <c r="U7" s="8"/>
    </row>
    <row r="8" spans="1:26" ht="9.75" customHeight="1" x14ac:dyDescent="0.25">
      <c r="A8" s="12"/>
      <c r="B8" s="12"/>
      <c r="C8" s="12"/>
      <c r="D8" s="12"/>
      <c r="E8" s="12"/>
      <c r="F8" s="12"/>
      <c r="G8" s="12"/>
      <c r="H8" s="12"/>
      <c r="I8" s="17"/>
      <c r="J8" s="12"/>
      <c r="K8" s="3"/>
    </row>
    <row r="9" spans="1:26" x14ac:dyDescent="0.25">
      <c r="A9" s="18" t="s">
        <v>9</v>
      </c>
      <c r="B9" s="19" t="s">
        <v>10</v>
      </c>
      <c r="C9" s="20"/>
      <c r="D9" s="19" t="s">
        <v>11</v>
      </c>
      <c r="E9" s="21" t="s">
        <v>12</v>
      </c>
      <c r="F9" s="19" t="s">
        <v>13</v>
      </c>
      <c r="G9" s="22"/>
      <c r="H9" s="19" t="s">
        <v>14</v>
      </c>
      <c r="I9" s="19" t="s">
        <v>15</v>
      </c>
      <c r="K9" s="23" t="s">
        <v>16</v>
      </c>
      <c r="M9" s="8" t="s">
        <v>1</v>
      </c>
      <c r="U9" s="8" t="s">
        <v>1</v>
      </c>
    </row>
    <row r="10" spans="1:26" ht="18" customHeight="1" x14ac:dyDescent="0.25">
      <c r="A10" s="11" t="s">
        <v>17</v>
      </c>
      <c r="B10" s="12"/>
      <c r="C10" s="24"/>
      <c r="D10" s="12"/>
      <c r="E10" s="25"/>
      <c r="F10" s="12"/>
      <c r="G10" s="12"/>
      <c r="H10" s="12"/>
      <c r="I10" s="12"/>
      <c r="J10" s="149" t="s">
        <v>143</v>
      </c>
      <c r="K10" s="23" t="s">
        <v>18</v>
      </c>
      <c r="L10" s="58" t="s">
        <v>144</v>
      </c>
    </row>
    <row r="11" spans="1:26" x14ac:dyDescent="0.25">
      <c r="A11" s="26" t="s">
        <v>19</v>
      </c>
      <c r="B11" s="27">
        <f>ROUND(((D4)*(G5/100)/2)+0.5,0)</f>
        <v>47</v>
      </c>
      <c r="C11" s="28" t="s">
        <v>20</v>
      </c>
      <c r="D11" s="29">
        <v>5.75</v>
      </c>
      <c r="E11" s="25" t="s">
        <v>21</v>
      </c>
      <c r="F11" s="30">
        <v>245</v>
      </c>
      <c r="G11" s="12"/>
      <c r="H11" s="31">
        <f>B11*D11</f>
        <v>270.25</v>
      </c>
      <c r="I11" s="32">
        <f>F11*H11</f>
        <v>66211.25</v>
      </c>
      <c r="J11" s="33">
        <f>(I11*K11)</f>
        <v>52969</v>
      </c>
      <c r="K11" s="189">
        <v>0.8</v>
      </c>
      <c r="L11" s="150">
        <f>(I11*(1-K11))</f>
        <v>13242.249999999996</v>
      </c>
    </row>
    <row r="12" spans="1:26" x14ac:dyDescent="0.25">
      <c r="A12" s="26" t="s">
        <v>22</v>
      </c>
      <c r="B12" s="27">
        <f>ROUND(((D4*(G5/100)/2)*(1-(G6/100)))-0.5,0)</f>
        <v>46</v>
      </c>
      <c r="C12" s="28" t="s">
        <v>20</v>
      </c>
      <c r="D12" s="29">
        <v>5.25</v>
      </c>
      <c r="E12" s="25" t="s">
        <v>21</v>
      </c>
      <c r="F12" s="30">
        <v>220</v>
      </c>
      <c r="G12" s="12"/>
      <c r="H12" s="31">
        <f>B12*D12</f>
        <v>241.5</v>
      </c>
      <c r="I12" s="32">
        <f>F12*H12</f>
        <v>53130</v>
      </c>
      <c r="J12" s="33">
        <f>(I12*K12)</f>
        <v>42504</v>
      </c>
      <c r="K12" s="189">
        <v>0.8</v>
      </c>
      <c r="L12" s="150">
        <f>(I12*(1-K12))</f>
        <v>10625.999999999998</v>
      </c>
      <c r="M12" s="8"/>
      <c r="U12" s="8" t="s">
        <v>1</v>
      </c>
    </row>
    <row r="13" spans="1:26" x14ac:dyDescent="0.25">
      <c r="A13" s="26" t="s">
        <v>23</v>
      </c>
      <c r="B13" s="34">
        <f>ROUND(((((A7-G7)/100)*D4)+0.25),0)</f>
        <v>14</v>
      </c>
      <c r="C13" s="28" t="s">
        <v>20</v>
      </c>
      <c r="D13" s="29">
        <v>11.5</v>
      </c>
      <c r="E13" s="25" t="s">
        <v>21</v>
      </c>
      <c r="F13" s="30">
        <v>105</v>
      </c>
      <c r="G13" s="12"/>
      <c r="H13" s="31">
        <f>B13*D13</f>
        <v>161</v>
      </c>
      <c r="I13" s="32">
        <f>F13*H13</f>
        <v>16905</v>
      </c>
      <c r="J13" s="25" t="s">
        <v>24</v>
      </c>
      <c r="K13" s="189">
        <v>0</v>
      </c>
      <c r="L13" s="150">
        <f t="shared" ref="L13:L14" si="0">(I13*(1-K13))</f>
        <v>16905</v>
      </c>
      <c r="N13" s="35" t="s">
        <v>1</v>
      </c>
      <c r="U13" s="8" t="s">
        <v>1</v>
      </c>
      <c r="Z13" s="36" t="s">
        <v>1</v>
      </c>
    </row>
    <row r="14" spans="1:26" x14ac:dyDescent="0.25">
      <c r="A14" s="26" t="s">
        <v>25</v>
      </c>
      <c r="B14" s="34">
        <f>ROUND(((D4/A6*0.33)+0.25),0)</f>
        <v>1</v>
      </c>
      <c r="C14" s="28" t="s">
        <v>20</v>
      </c>
      <c r="D14" s="29">
        <v>17</v>
      </c>
      <c r="E14" s="25" t="s">
        <v>21</v>
      </c>
      <c r="F14" s="30">
        <v>120</v>
      </c>
      <c r="G14" s="12"/>
      <c r="H14" s="31">
        <f>B14*D14</f>
        <v>17</v>
      </c>
      <c r="I14" s="32">
        <f>F14*H14</f>
        <v>2040</v>
      </c>
      <c r="J14" s="25" t="s">
        <v>24</v>
      </c>
      <c r="K14" s="189">
        <v>0</v>
      </c>
      <c r="L14" s="150">
        <f t="shared" si="0"/>
        <v>2040</v>
      </c>
      <c r="M14" s="8" t="s">
        <v>1</v>
      </c>
      <c r="N14" s="35" t="s">
        <v>1</v>
      </c>
      <c r="U14" s="8" t="s">
        <v>1</v>
      </c>
      <c r="Z14" s="36" t="s">
        <v>1</v>
      </c>
    </row>
    <row r="15" spans="1:26" ht="18" customHeight="1" x14ac:dyDescent="0.25">
      <c r="A15" s="14" t="s">
        <v>26</v>
      </c>
      <c r="B15" s="34"/>
      <c r="C15" s="28"/>
      <c r="D15" s="29"/>
      <c r="E15" s="25"/>
      <c r="F15" s="37"/>
      <c r="G15" s="38">
        <f>I15/D$4</f>
        <v>1382.8625</v>
      </c>
      <c r="H15" s="14" t="s">
        <v>27</v>
      </c>
      <c r="I15" s="155">
        <f>SUM(I11:I14)</f>
        <v>138286.25</v>
      </c>
      <c r="J15" s="25" t="s">
        <v>24</v>
      </c>
      <c r="K15" s="189"/>
      <c r="L15" s="151"/>
      <c r="M15" s="8"/>
      <c r="N15" s="35"/>
      <c r="U15" s="8"/>
      <c r="Z15" s="36"/>
    </row>
    <row r="16" spans="1:26" ht="18" customHeight="1" x14ac:dyDescent="0.25">
      <c r="A16" s="11" t="s">
        <v>28</v>
      </c>
      <c r="B16" s="12"/>
      <c r="C16" s="12"/>
      <c r="D16" s="12"/>
      <c r="E16" s="25"/>
      <c r="F16" s="12"/>
      <c r="G16" s="12"/>
      <c r="H16" s="12"/>
      <c r="I16" s="12"/>
      <c r="J16" s="25"/>
      <c r="K16" s="189"/>
      <c r="L16" s="151" t="s">
        <v>1</v>
      </c>
      <c r="M16" s="8" t="s">
        <v>1</v>
      </c>
      <c r="N16" s="35" t="s">
        <v>1</v>
      </c>
      <c r="U16" s="8" t="s">
        <v>1</v>
      </c>
      <c r="Z16" s="36" t="s">
        <v>1</v>
      </c>
    </row>
    <row r="17" spans="1:26" x14ac:dyDescent="0.25">
      <c r="A17" s="12"/>
      <c r="B17" s="25" t="s">
        <v>29</v>
      </c>
      <c r="C17" s="12"/>
      <c r="E17" s="25"/>
      <c r="F17" s="12"/>
      <c r="G17" s="12"/>
      <c r="H17" s="12"/>
      <c r="I17" s="12"/>
      <c r="J17" s="25"/>
      <c r="K17" s="189"/>
      <c r="L17" s="150"/>
      <c r="M17" s="8"/>
      <c r="U17" s="8" t="s">
        <v>1</v>
      </c>
      <c r="Z17" s="36" t="s">
        <v>1</v>
      </c>
    </row>
    <row r="18" spans="1:26" x14ac:dyDescent="0.25">
      <c r="A18" s="12" t="str">
        <f t="shared" ref="A18:A24" si="1">A73</f>
        <v>Pasture Dry Matter</v>
      </c>
      <c r="B18" s="39">
        <v>0.65</v>
      </c>
      <c r="C18" s="12"/>
      <c r="E18" s="40" t="str">
        <f>IF(C73&gt;99,"Cwt",IF(C73&gt;0,"Bushel","Ton"))</f>
        <v>Ton</v>
      </c>
      <c r="F18" s="30">
        <v>24</v>
      </c>
      <c r="G18" s="12"/>
      <c r="H18" s="41">
        <f>IF(C73&lt;=0,(J73*(1+B18)),(J73*2000)/C73*(1+B18))</f>
        <v>626.4224999999999</v>
      </c>
      <c r="I18" s="42">
        <f t="shared" ref="I18:I34" si="2">F18*H18</f>
        <v>15034.139999999998</v>
      </c>
      <c r="J18" s="33">
        <f>(I18*K18)</f>
        <v>15034.139999999998</v>
      </c>
      <c r="K18" s="189">
        <v>1</v>
      </c>
      <c r="L18" s="151">
        <f t="shared" ref="L18:L28" si="3">(I18*(1-K18))</f>
        <v>0</v>
      </c>
      <c r="U18" s="8" t="s">
        <v>1</v>
      </c>
    </row>
    <row r="19" spans="1:26" x14ac:dyDescent="0.25">
      <c r="A19" s="12" t="str">
        <f t="shared" si="1"/>
        <v xml:space="preserve"> Alfalfa Hay, Bloom</v>
      </c>
      <c r="B19" s="39">
        <v>0.05</v>
      </c>
      <c r="C19" s="12"/>
      <c r="E19" s="25" t="str">
        <f t="shared" ref="E19:E24" si="4">IF(C74&gt;99,"Cwt",IF(C74&gt;0,"Bushel","Ton"))</f>
        <v>Ton</v>
      </c>
      <c r="F19" s="30">
        <v>148</v>
      </c>
      <c r="G19" s="12"/>
      <c r="H19" s="31">
        <f t="shared" ref="H19:H24" si="5">IF(C74=0,(J74*(1+B19)),(J74*2000)/C74*(1+B19))</f>
        <v>0</v>
      </c>
      <c r="I19" s="42">
        <f t="shared" si="2"/>
        <v>0</v>
      </c>
      <c r="J19" s="33">
        <f t="shared" ref="J19:J43" si="6">(I19*K19)</f>
        <v>0</v>
      </c>
      <c r="K19" s="189">
        <v>1</v>
      </c>
      <c r="L19" s="151">
        <f t="shared" si="3"/>
        <v>0</v>
      </c>
      <c r="U19" s="8"/>
    </row>
    <row r="20" spans="1:26" x14ac:dyDescent="0.25">
      <c r="A20" s="12" t="str">
        <f t="shared" si="1"/>
        <v xml:space="preserve"> Mixed Hay, 2nd Cutting</v>
      </c>
      <c r="B20" s="39">
        <v>0.05</v>
      </c>
      <c r="C20" s="12"/>
      <c r="E20" s="25" t="str">
        <f t="shared" si="4"/>
        <v>Ton</v>
      </c>
      <c r="F20" s="30">
        <v>150</v>
      </c>
      <c r="G20" s="12"/>
      <c r="H20" s="31">
        <f t="shared" si="5"/>
        <v>4.2525000000000004</v>
      </c>
      <c r="I20" s="42">
        <f t="shared" si="2"/>
        <v>637.87500000000011</v>
      </c>
      <c r="J20" s="33">
        <f t="shared" si="6"/>
        <v>637.87500000000011</v>
      </c>
      <c r="K20" s="189">
        <v>1</v>
      </c>
      <c r="L20" s="151">
        <f t="shared" si="3"/>
        <v>0</v>
      </c>
      <c r="U20" s="8" t="s">
        <v>1</v>
      </c>
    </row>
    <row r="21" spans="1:26" x14ac:dyDescent="0.25">
      <c r="A21" s="12" t="str">
        <f t="shared" si="1"/>
        <v xml:space="preserve"> Grass Hay, Average</v>
      </c>
      <c r="B21" s="39">
        <v>0.1</v>
      </c>
      <c r="C21" s="12"/>
      <c r="E21" s="25" t="str">
        <f t="shared" si="4"/>
        <v>Ton</v>
      </c>
      <c r="F21" s="30">
        <v>90</v>
      </c>
      <c r="G21" s="12"/>
      <c r="H21" s="31">
        <f t="shared" si="5"/>
        <v>113.355</v>
      </c>
      <c r="I21" s="42">
        <f t="shared" si="2"/>
        <v>10201.950000000001</v>
      </c>
      <c r="J21" s="33">
        <f t="shared" si="6"/>
        <v>10201.950000000001</v>
      </c>
      <c r="K21" s="189">
        <v>1</v>
      </c>
      <c r="L21" s="151">
        <f t="shared" si="3"/>
        <v>0</v>
      </c>
      <c r="M21" s="8" t="s">
        <v>1</v>
      </c>
      <c r="U21" s="8" t="s">
        <v>1</v>
      </c>
    </row>
    <row r="22" spans="1:26" x14ac:dyDescent="0.25">
      <c r="A22" s="12" t="str">
        <f t="shared" si="1"/>
        <v xml:space="preserve"> Corn Grain</v>
      </c>
      <c r="B22" s="39">
        <v>0.02</v>
      </c>
      <c r="C22" s="12"/>
      <c r="E22" s="25" t="str">
        <f t="shared" si="4"/>
        <v>Bushel</v>
      </c>
      <c r="F22" s="30">
        <v>7.5</v>
      </c>
      <c r="G22" s="12"/>
      <c r="H22" s="31">
        <f t="shared" si="5"/>
        <v>147.53571428571428</v>
      </c>
      <c r="I22" s="42">
        <f t="shared" si="2"/>
        <v>1106.5178571428571</v>
      </c>
      <c r="J22" s="33">
        <f t="shared" si="6"/>
        <v>1106.5178571428571</v>
      </c>
      <c r="K22" s="189">
        <v>1</v>
      </c>
      <c r="L22" s="151">
        <f t="shared" si="3"/>
        <v>0</v>
      </c>
      <c r="M22" s="8" t="s">
        <v>1</v>
      </c>
      <c r="U22" s="8" t="s">
        <v>1</v>
      </c>
      <c r="Z22" s="36" t="s">
        <v>1</v>
      </c>
    </row>
    <row r="23" spans="1:26" x14ac:dyDescent="0.25">
      <c r="A23" s="12" t="str">
        <f t="shared" si="1"/>
        <v xml:space="preserve"> SBOM 48%</v>
      </c>
      <c r="B23" s="39">
        <v>0.02</v>
      </c>
      <c r="C23" s="12"/>
      <c r="E23" s="25" t="str">
        <f t="shared" si="4"/>
        <v>Ton</v>
      </c>
      <c r="F23" s="30">
        <v>520</v>
      </c>
      <c r="G23" s="12"/>
      <c r="H23" s="31">
        <f t="shared" si="5"/>
        <v>0</v>
      </c>
      <c r="I23" s="42">
        <f t="shared" si="2"/>
        <v>0</v>
      </c>
      <c r="J23" s="33">
        <f t="shared" si="6"/>
        <v>0</v>
      </c>
      <c r="K23" s="189">
        <v>1</v>
      </c>
      <c r="L23" s="151">
        <f t="shared" si="3"/>
        <v>0</v>
      </c>
      <c r="M23" s="8" t="s">
        <v>1</v>
      </c>
      <c r="N23" s="35" t="s">
        <v>1</v>
      </c>
      <c r="U23" s="8" t="s">
        <v>1</v>
      </c>
      <c r="Z23" s="36" t="s">
        <v>1</v>
      </c>
    </row>
    <row r="24" spans="1:26" x14ac:dyDescent="0.25">
      <c r="A24" s="12" t="str">
        <f t="shared" si="1"/>
        <v>Commodity Pellet</v>
      </c>
      <c r="B24" s="39">
        <v>0.05</v>
      </c>
      <c r="C24" s="12"/>
      <c r="E24" s="25" t="str">
        <f t="shared" si="4"/>
        <v>Ton</v>
      </c>
      <c r="F24" s="30">
        <v>400</v>
      </c>
      <c r="G24" s="12"/>
      <c r="H24" s="31">
        <f t="shared" si="5"/>
        <v>48.048000000000002</v>
      </c>
      <c r="I24" s="42">
        <f t="shared" si="2"/>
        <v>19219.2</v>
      </c>
      <c r="J24" s="33">
        <f t="shared" si="6"/>
        <v>19219.2</v>
      </c>
      <c r="K24" s="189">
        <v>1</v>
      </c>
      <c r="L24" s="151">
        <f t="shared" si="3"/>
        <v>0</v>
      </c>
      <c r="M24" s="8" t="s">
        <v>1</v>
      </c>
      <c r="N24" s="35" t="s">
        <v>1</v>
      </c>
      <c r="U24" s="8" t="s">
        <v>1</v>
      </c>
      <c r="Z24" s="36" t="s">
        <v>1</v>
      </c>
    </row>
    <row r="25" spans="1:26" x14ac:dyDescent="0.25">
      <c r="A25" s="26" t="s">
        <v>30</v>
      </c>
      <c r="B25" s="12"/>
      <c r="C25" s="12"/>
      <c r="D25" s="12"/>
      <c r="E25" s="25" t="s">
        <v>21</v>
      </c>
      <c r="F25" s="30">
        <v>2</v>
      </c>
      <c r="G25" s="12"/>
      <c r="H25" s="29">
        <v>0</v>
      </c>
      <c r="I25" s="42">
        <f t="shared" si="2"/>
        <v>0</v>
      </c>
      <c r="J25" s="33">
        <f t="shared" si="6"/>
        <v>0</v>
      </c>
      <c r="K25" s="189">
        <v>1</v>
      </c>
      <c r="L25" s="151">
        <f t="shared" si="3"/>
        <v>0</v>
      </c>
      <c r="M25" s="8"/>
      <c r="N25" s="35"/>
      <c r="U25" s="8"/>
      <c r="Z25" s="36"/>
    </row>
    <row r="26" spans="1:26" x14ac:dyDescent="0.25">
      <c r="A26" s="26" t="s">
        <v>31</v>
      </c>
      <c r="B26" s="43">
        <v>68</v>
      </c>
      <c r="C26" s="12" t="s">
        <v>32</v>
      </c>
      <c r="D26" s="12"/>
      <c r="E26" s="25" t="s">
        <v>21</v>
      </c>
      <c r="F26" s="30">
        <v>40</v>
      </c>
      <c r="H26" s="31">
        <f>B26/100*D4</f>
        <v>68</v>
      </c>
      <c r="I26" s="42">
        <f t="shared" si="2"/>
        <v>2720</v>
      </c>
      <c r="J26" s="33">
        <f t="shared" si="6"/>
        <v>2720</v>
      </c>
      <c r="K26" s="189">
        <v>1</v>
      </c>
      <c r="L26" s="151">
        <f t="shared" si="3"/>
        <v>0</v>
      </c>
      <c r="M26" s="8" t="s">
        <v>1</v>
      </c>
      <c r="N26" s="35" t="s">
        <v>1</v>
      </c>
      <c r="U26" s="8" t="s">
        <v>1</v>
      </c>
    </row>
    <row r="27" spans="1:26" x14ac:dyDescent="0.25">
      <c r="A27" s="26" t="s">
        <v>33</v>
      </c>
      <c r="B27" s="43"/>
      <c r="C27" s="12" t="s">
        <v>34</v>
      </c>
      <c r="D27" s="12"/>
      <c r="E27" s="25" t="s">
        <v>35</v>
      </c>
      <c r="F27" s="32">
        <f>J121/D4</f>
        <v>31.113900000000005</v>
      </c>
      <c r="G27" s="12"/>
      <c r="H27" s="44">
        <f>D4</f>
        <v>100</v>
      </c>
      <c r="I27" s="45">
        <f>IF(B27=N(ISNUMBER(B27)),ROUND((F27*H27),2),ROUND((B27*H27),2))</f>
        <v>3111.39</v>
      </c>
      <c r="J27" s="33">
        <f t="shared" si="6"/>
        <v>3111.39</v>
      </c>
      <c r="K27" s="189">
        <v>1</v>
      </c>
      <c r="L27" s="151">
        <f t="shared" si="3"/>
        <v>0</v>
      </c>
      <c r="M27" s="8" t="s">
        <v>1</v>
      </c>
      <c r="N27" s="35" t="s">
        <v>1</v>
      </c>
      <c r="U27" s="8" t="s">
        <v>1</v>
      </c>
    </row>
    <row r="28" spans="1:26" x14ac:dyDescent="0.25">
      <c r="A28" s="26" t="s">
        <v>36</v>
      </c>
      <c r="B28" s="12"/>
      <c r="C28" s="12"/>
      <c r="D28" s="12"/>
      <c r="E28" s="25" t="s">
        <v>35</v>
      </c>
      <c r="F28" s="30">
        <v>5</v>
      </c>
      <c r="G28" s="12"/>
      <c r="H28" s="44">
        <f>D4</f>
        <v>100</v>
      </c>
      <c r="I28" s="45">
        <f t="shared" si="2"/>
        <v>500</v>
      </c>
      <c r="J28" s="33">
        <f t="shared" si="6"/>
        <v>500</v>
      </c>
      <c r="K28" s="189">
        <v>1</v>
      </c>
      <c r="L28" s="151">
        <f t="shared" si="3"/>
        <v>0</v>
      </c>
      <c r="M28" s="8"/>
      <c r="N28" s="35"/>
      <c r="U28" s="8"/>
    </row>
    <row r="29" spans="1:26" x14ac:dyDescent="0.25">
      <c r="A29" s="26" t="s">
        <v>37</v>
      </c>
      <c r="B29" s="12"/>
      <c r="C29" s="12"/>
      <c r="D29" s="12"/>
      <c r="E29" s="25" t="s">
        <v>35</v>
      </c>
      <c r="F29" s="30">
        <v>4000</v>
      </c>
      <c r="G29" s="12"/>
      <c r="H29" s="188">
        <v>1</v>
      </c>
      <c r="I29" s="45">
        <v>4000</v>
      </c>
      <c r="J29" s="33">
        <f t="shared" si="6"/>
        <v>0</v>
      </c>
      <c r="K29" s="189">
        <v>0</v>
      </c>
      <c r="L29" s="151">
        <f t="shared" ref="L29:L33" si="7">(I29*(1-K29))</f>
        <v>4000</v>
      </c>
      <c r="M29" s="8"/>
      <c r="N29" s="35"/>
      <c r="U29" s="8"/>
    </row>
    <row r="30" spans="1:26" x14ac:dyDescent="0.25">
      <c r="A30" s="26" t="s">
        <v>145</v>
      </c>
      <c r="B30" s="12"/>
      <c r="C30" s="12"/>
      <c r="D30" s="12"/>
      <c r="E30" s="25" t="s">
        <v>35</v>
      </c>
      <c r="F30" s="30">
        <v>2200</v>
      </c>
      <c r="G30" s="12"/>
      <c r="H30" s="188">
        <v>14</v>
      </c>
      <c r="I30" s="45">
        <f>(F30*H30)</f>
        <v>30800</v>
      </c>
      <c r="J30" s="33">
        <f t="shared" si="6"/>
        <v>0</v>
      </c>
      <c r="K30" s="189">
        <v>0</v>
      </c>
      <c r="L30" s="151">
        <f t="shared" si="7"/>
        <v>30800</v>
      </c>
      <c r="M30" s="8"/>
      <c r="N30" s="35"/>
      <c r="U30" s="8"/>
    </row>
    <row r="31" spans="1:26" x14ac:dyDescent="0.25">
      <c r="A31" s="26" t="s">
        <v>38</v>
      </c>
      <c r="B31" s="43">
        <v>0</v>
      </c>
      <c r="C31" s="162" t="s">
        <v>39</v>
      </c>
      <c r="D31" s="162"/>
      <c r="E31" s="25" t="s">
        <v>40</v>
      </c>
      <c r="F31" s="30">
        <v>70</v>
      </c>
      <c r="G31" s="12"/>
      <c r="H31" s="44">
        <f>B31*D4</f>
        <v>0</v>
      </c>
      <c r="I31" s="42">
        <f>F31*H31</f>
        <v>0</v>
      </c>
      <c r="J31" s="33">
        <f t="shared" si="6"/>
        <v>0</v>
      </c>
      <c r="K31" s="189">
        <v>1</v>
      </c>
      <c r="L31" s="151">
        <f t="shared" si="7"/>
        <v>0</v>
      </c>
      <c r="M31" s="8"/>
      <c r="N31" s="35"/>
      <c r="U31" s="8"/>
    </row>
    <row r="32" spans="1:26" x14ac:dyDescent="0.25">
      <c r="A32" s="26" t="s">
        <v>41</v>
      </c>
      <c r="B32" s="46">
        <v>2</v>
      </c>
      <c r="C32" s="162" t="s">
        <v>39</v>
      </c>
      <c r="D32" s="162"/>
      <c r="E32" s="25" t="s">
        <v>40</v>
      </c>
      <c r="F32" s="30">
        <v>75</v>
      </c>
      <c r="G32" s="12"/>
      <c r="H32" s="44">
        <f>$B$32*$D$4</f>
        <v>200</v>
      </c>
      <c r="I32" s="42">
        <f t="shared" si="2"/>
        <v>15000</v>
      </c>
      <c r="J32" s="33">
        <f t="shared" si="6"/>
        <v>15000</v>
      </c>
      <c r="K32" s="189">
        <v>1</v>
      </c>
      <c r="L32" s="151">
        <f t="shared" si="7"/>
        <v>0</v>
      </c>
      <c r="M32" s="8"/>
      <c r="N32" s="35"/>
      <c r="U32" s="8"/>
    </row>
    <row r="33" spans="1:26" x14ac:dyDescent="0.25">
      <c r="A33" s="11" t="s">
        <v>42</v>
      </c>
      <c r="B33" s="47">
        <v>2</v>
      </c>
      <c r="C33" s="163" t="s">
        <v>39</v>
      </c>
      <c r="D33" s="163"/>
      <c r="E33" s="48" t="s">
        <v>40</v>
      </c>
      <c r="F33" s="49">
        <v>0</v>
      </c>
      <c r="G33" s="14"/>
      <c r="H33" s="50">
        <f>$B$32*$D$4</f>
        <v>200</v>
      </c>
      <c r="I33" s="42">
        <f>F33*H33</f>
        <v>0</v>
      </c>
      <c r="J33" s="33">
        <f t="shared" si="6"/>
        <v>0</v>
      </c>
      <c r="K33" s="189">
        <v>0</v>
      </c>
      <c r="L33" s="151">
        <f t="shared" si="7"/>
        <v>0</v>
      </c>
      <c r="M33" s="8"/>
      <c r="N33" s="35"/>
      <c r="U33" s="8"/>
    </row>
    <row r="34" spans="1:26" x14ac:dyDescent="0.25">
      <c r="A34" s="26" t="s">
        <v>43</v>
      </c>
      <c r="B34" s="12"/>
      <c r="C34" s="12"/>
      <c r="D34" s="12"/>
      <c r="E34" s="25" t="s">
        <v>35</v>
      </c>
      <c r="F34" s="30">
        <v>6</v>
      </c>
      <c r="G34" s="12"/>
      <c r="H34" s="44">
        <f>B13+B14</f>
        <v>15</v>
      </c>
      <c r="I34" s="45">
        <f t="shared" si="2"/>
        <v>90</v>
      </c>
      <c r="J34" s="33">
        <f t="shared" si="6"/>
        <v>0</v>
      </c>
      <c r="K34" s="189">
        <v>0</v>
      </c>
      <c r="L34" s="151">
        <f>(I34*(1-K34))</f>
        <v>90</v>
      </c>
      <c r="M34" s="8"/>
      <c r="N34" s="35"/>
      <c r="U34" s="8"/>
    </row>
    <row r="35" spans="1:26" x14ac:dyDescent="0.25">
      <c r="A35" s="26" t="s">
        <v>44</v>
      </c>
      <c r="B35" s="51"/>
      <c r="C35" s="12" t="s">
        <v>34</v>
      </c>
      <c r="D35" s="12"/>
      <c r="E35" s="25" t="s">
        <v>35</v>
      </c>
      <c r="F35" s="52">
        <f>IF(H35=0,0,((SUM(I13:I14)*0.02+(B13+B14)*3)/H35))</f>
        <v>28.26</v>
      </c>
      <c r="G35" s="12"/>
      <c r="H35" s="44">
        <f>B13+B14</f>
        <v>15</v>
      </c>
      <c r="I35" s="45">
        <f>IF(B35=N(ISNUMBER(B35)),ROUND((F35*H35),2),ROUND((B35*H35),2))</f>
        <v>423.9</v>
      </c>
      <c r="J35" s="33">
        <f t="shared" si="6"/>
        <v>0</v>
      </c>
      <c r="K35" s="189">
        <v>0</v>
      </c>
      <c r="L35" s="151">
        <f>(I35*(1-K35))</f>
        <v>423.9</v>
      </c>
      <c r="M35" s="8"/>
      <c r="N35" s="35"/>
      <c r="U35" s="8"/>
    </row>
    <row r="36" spans="1:26" x14ac:dyDescent="0.25">
      <c r="A36" s="26" t="s">
        <v>45</v>
      </c>
      <c r="B36" s="12"/>
      <c r="C36" s="12"/>
      <c r="D36" s="12"/>
      <c r="E36" s="25" t="s">
        <v>35</v>
      </c>
      <c r="F36" s="30">
        <v>5</v>
      </c>
      <c r="G36" s="12"/>
      <c r="H36" s="44">
        <f>B11+B12</f>
        <v>93</v>
      </c>
      <c r="I36" s="45">
        <f>F36*H36</f>
        <v>465</v>
      </c>
      <c r="J36" s="33">
        <f t="shared" si="6"/>
        <v>372</v>
      </c>
      <c r="K36" s="189">
        <v>0.8</v>
      </c>
      <c r="L36" s="151">
        <f>(I36*(1-K36))</f>
        <v>92.999999999999986</v>
      </c>
      <c r="M36" s="8"/>
      <c r="N36" s="35"/>
      <c r="U36" s="8"/>
    </row>
    <row r="37" spans="1:26" x14ac:dyDescent="0.25">
      <c r="A37" s="26" t="s">
        <v>46</v>
      </c>
      <c r="B37" s="51"/>
      <c r="C37" s="12" t="s">
        <v>34</v>
      </c>
      <c r="D37" s="12"/>
      <c r="E37" s="25" t="s">
        <v>35</v>
      </c>
      <c r="F37" s="52">
        <f>(SUM(I11:I12)*0.02+(B11+B12)*3.5)/H37</f>
        <v>29.164784946236562</v>
      </c>
      <c r="G37" s="12"/>
      <c r="H37" s="44">
        <f>B11+B12</f>
        <v>93</v>
      </c>
      <c r="I37" s="45">
        <f>IF(B37=N(ISNUMBER(B37)),ROUND((F37*H37),2),ROUND((B37*H37),2))</f>
        <v>2712.33</v>
      </c>
      <c r="J37" s="33">
        <f t="shared" si="6"/>
        <v>2169.864</v>
      </c>
      <c r="K37" s="189">
        <v>0.8</v>
      </c>
      <c r="L37" s="151">
        <f>(I37*(1-K37))</f>
        <v>542.46599999999989</v>
      </c>
      <c r="M37" s="8"/>
      <c r="N37" s="35"/>
      <c r="U37" s="8"/>
    </row>
    <row r="38" spans="1:26" x14ac:dyDescent="0.25">
      <c r="A38" s="26" t="s">
        <v>47</v>
      </c>
      <c r="B38" s="12"/>
      <c r="C38" s="12"/>
      <c r="D38" s="12"/>
      <c r="E38" s="25" t="s">
        <v>35</v>
      </c>
      <c r="F38" s="53">
        <v>14.4</v>
      </c>
      <c r="H38" s="54">
        <f>D4</f>
        <v>100</v>
      </c>
      <c r="I38" s="45">
        <f>F38*H38</f>
        <v>1440</v>
      </c>
      <c r="J38" s="33">
        <f t="shared" si="6"/>
        <v>0</v>
      </c>
      <c r="K38" s="189">
        <v>0</v>
      </c>
      <c r="L38" s="151">
        <f t="shared" ref="L38:L43" si="8">(I38*(1-K38))</f>
        <v>1440</v>
      </c>
      <c r="M38" s="8"/>
      <c r="N38" s="35"/>
      <c r="U38" s="8"/>
    </row>
    <row r="39" spans="1:26" x14ac:dyDescent="0.25">
      <c r="A39" s="26" t="s">
        <v>48</v>
      </c>
      <c r="B39" s="12"/>
      <c r="C39" s="12"/>
      <c r="D39" s="12"/>
      <c r="E39" s="25" t="s">
        <v>35</v>
      </c>
      <c r="F39" s="53">
        <v>3.29</v>
      </c>
      <c r="H39" s="54">
        <f>D4</f>
        <v>100</v>
      </c>
      <c r="I39" s="45">
        <f>F39*H39</f>
        <v>329</v>
      </c>
      <c r="J39" s="33">
        <f t="shared" si="6"/>
        <v>329</v>
      </c>
      <c r="K39" s="189">
        <v>1</v>
      </c>
      <c r="L39" s="151">
        <f t="shared" si="8"/>
        <v>0</v>
      </c>
      <c r="M39" s="8"/>
      <c r="N39" s="35"/>
      <c r="U39" s="8"/>
    </row>
    <row r="40" spans="1:26" x14ac:dyDescent="0.25">
      <c r="A40" s="26" t="s">
        <v>49</v>
      </c>
      <c r="B40" s="12"/>
      <c r="C40" s="12"/>
      <c r="D40" s="12"/>
      <c r="E40" s="25" t="s">
        <v>35</v>
      </c>
      <c r="F40" s="53">
        <v>5.72</v>
      </c>
      <c r="H40" s="54">
        <f>D4</f>
        <v>100</v>
      </c>
      <c r="I40" s="45">
        <f>F40*H40</f>
        <v>572</v>
      </c>
      <c r="J40" s="33">
        <f t="shared" si="6"/>
        <v>572</v>
      </c>
      <c r="K40" s="189">
        <v>1</v>
      </c>
      <c r="L40" s="151">
        <f t="shared" si="8"/>
        <v>0</v>
      </c>
      <c r="M40" s="8"/>
      <c r="N40" s="35"/>
      <c r="U40" s="8"/>
    </row>
    <row r="41" spans="1:26" x14ac:dyDescent="0.25">
      <c r="A41" s="11" t="s">
        <v>50</v>
      </c>
      <c r="B41" s="14"/>
      <c r="C41" s="14"/>
      <c r="D41" s="14"/>
      <c r="E41" s="48" t="s">
        <v>35</v>
      </c>
      <c r="F41" s="49">
        <v>28</v>
      </c>
      <c r="H41" s="44">
        <f>D4</f>
        <v>100</v>
      </c>
      <c r="I41" s="45">
        <f>F41*H41</f>
        <v>2800</v>
      </c>
      <c r="J41" s="33">
        <f t="shared" si="6"/>
        <v>2800</v>
      </c>
      <c r="K41" s="189">
        <v>1</v>
      </c>
      <c r="L41" s="151">
        <f t="shared" si="8"/>
        <v>0</v>
      </c>
    </row>
    <row r="42" spans="1:26" x14ac:dyDescent="0.25">
      <c r="A42" s="55" t="s">
        <v>51</v>
      </c>
      <c r="B42" s="56">
        <v>8</v>
      </c>
      <c r="C42" s="57" t="s">
        <v>52</v>
      </c>
      <c r="D42" s="58"/>
      <c r="E42" s="59" t="s">
        <v>53</v>
      </c>
      <c r="F42" s="60">
        <v>0</v>
      </c>
      <c r="G42" s="58"/>
      <c r="H42" s="61">
        <f>D4*B42</f>
        <v>800</v>
      </c>
      <c r="I42" s="62">
        <f>F42*H42</f>
        <v>0</v>
      </c>
      <c r="J42" s="33">
        <f t="shared" si="6"/>
        <v>0</v>
      </c>
      <c r="K42" s="189">
        <v>1</v>
      </c>
      <c r="L42" s="151">
        <f t="shared" si="8"/>
        <v>0</v>
      </c>
      <c r="M42" s="8"/>
      <c r="N42" s="35"/>
      <c r="U42" s="8"/>
    </row>
    <row r="43" spans="1:26" x14ac:dyDescent="0.25">
      <c r="A43" s="26" t="s">
        <v>54</v>
      </c>
      <c r="B43" s="63">
        <v>6</v>
      </c>
      <c r="C43" s="12" t="s">
        <v>55</v>
      </c>
      <c r="D43" s="64"/>
      <c r="E43" s="25" t="s">
        <v>56</v>
      </c>
      <c r="F43" s="65">
        <v>0</v>
      </c>
      <c r="H43" s="184">
        <f>ROUND(SUM(I18:I42)-SUM(I34:I37),0)</f>
        <v>107472</v>
      </c>
      <c r="I43" s="45">
        <f>B43/12*F43*H43</f>
        <v>0</v>
      </c>
      <c r="J43" s="33">
        <f t="shared" si="6"/>
        <v>0</v>
      </c>
      <c r="K43" s="189">
        <v>1</v>
      </c>
      <c r="L43" s="151">
        <f t="shared" si="8"/>
        <v>0</v>
      </c>
      <c r="M43" s="8"/>
      <c r="N43" s="35"/>
      <c r="U43" s="8"/>
    </row>
    <row r="44" spans="1:26" ht="15" customHeight="1" x14ac:dyDescent="0.25">
      <c r="A44" s="12"/>
      <c r="B44" s="12"/>
      <c r="C44" s="12"/>
      <c r="D44" s="12"/>
      <c r="E44" s="12"/>
      <c r="F44" s="12"/>
      <c r="G44" s="12"/>
      <c r="H44" s="12"/>
      <c r="I44" s="32"/>
      <c r="J44" s="59" t="s">
        <v>143</v>
      </c>
      <c r="K44" s="3"/>
      <c r="L44" s="58" t="s">
        <v>144</v>
      </c>
      <c r="M44" s="8" t="s">
        <v>1</v>
      </c>
      <c r="U44" s="8" t="s">
        <v>1</v>
      </c>
      <c r="Z44" s="66" t="s">
        <v>1</v>
      </c>
    </row>
    <row r="45" spans="1:26" ht="18" customHeight="1" x14ac:dyDescent="0.25">
      <c r="A45" s="11" t="s">
        <v>57</v>
      </c>
      <c r="B45" s="12"/>
      <c r="C45" s="12"/>
      <c r="D45" s="12"/>
      <c r="E45" s="12"/>
      <c r="G45" s="38">
        <f>I45/D$4</f>
        <v>1111.6330285714287</v>
      </c>
      <c r="H45" s="14" t="s">
        <v>27</v>
      </c>
      <c r="I45" s="155">
        <f>SUM(I18:I43)</f>
        <v>111163.30285714286</v>
      </c>
      <c r="J45" s="38">
        <f>SUM(J18:J43)</f>
        <v>73773.936857142864</v>
      </c>
      <c r="K45" s="3"/>
      <c r="L45" s="150">
        <f>SUM(L18:L43)</f>
        <v>37389.366000000002</v>
      </c>
      <c r="M45" s="8"/>
      <c r="U45" s="8" t="s">
        <v>1</v>
      </c>
    </row>
    <row r="46" spans="1:26" ht="18" customHeight="1" x14ac:dyDescent="0.25">
      <c r="A46" s="11"/>
      <c r="B46" s="12"/>
      <c r="C46" s="12"/>
      <c r="D46" s="12"/>
      <c r="E46" s="12"/>
      <c r="G46" s="38"/>
      <c r="H46" s="14"/>
      <c r="I46" s="38"/>
      <c r="J46" s="25"/>
      <c r="K46" s="3"/>
      <c r="L46" s="148"/>
      <c r="M46" s="8"/>
      <c r="U46" s="8"/>
    </row>
    <row r="47" spans="1:26" ht="18" customHeight="1" x14ac:dyDescent="0.25">
      <c r="A47" s="11" t="s">
        <v>58</v>
      </c>
      <c r="B47" s="12"/>
      <c r="C47" s="12"/>
      <c r="D47" s="12"/>
      <c r="E47" s="12"/>
      <c r="F47" s="12"/>
      <c r="G47" s="12"/>
      <c r="H47" s="12"/>
      <c r="I47" s="38">
        <f>J88</f>
        <v>0</v>
      </c>
      <c r="J47" s="25" t="s">
        <v>24</v>
      </c>
      <c r="K47" s="3"/>
      <c r="L47" s="148"/>
      <c r="M47" s="8"/>
      <c r="U47" s="8"/>
    </row>
    <row r="48" spans="1:26" ht="18" customHeight="1" x14ac:dyDescent="0.25">
      <c r="A48" s="26"/>
      <c r="B48" s="12"/>
      <c r="C48" s="12"/>
      <c r="D48" s="12"/>
      <c r="E48" s="12"/>
      <c r="F48" s="12"/>
      <c r="G48" s="30"/>
      <c r="H48" s="12"/>
      <c r="I48" s="32"/>
      <c r="J48" s="152" t="s">
        <v>157</v>
      </c>
      <c r="K48" s="3"/>
      <c r="L48" s="154" t="s">
        <v>158</v>
      </c>
      <c r="M48" s="8"/>
      <c r="U48" s="8"/>
    </row>
    <row r="49" spans="1:26" ht="21" customHeight="1" x14ac:dyDescent="0.25">
      <c r="A49" s="186" t="s">
        <v>59</v>
      </c>
      <c r="B49" s="187"/>
      <c r="C49" s="187"/>
      <c r="D49" s="187"/>
      <c r="E49" s="187"/>
      <c r="F49" s="187"/>
      <c r="G49" s="67">
        <f>I49/$D$4</f>
        <v>271.2294714285714</v>
      </c>
      <c r="H49" s="68" t="s">
        <v>27</v>
      </c>
      <c r="I49" s="67">
        <f>I15-I45-I47</f>
        <v>27122.947142857141</v>
      </c>
      <c r="J49" s="153">
        <f>(J11+J12)-J45</f>
        <v>21699.063142857136</v>
      </c>
      <c r="K49" s="3"/>
      <c r="L49" s="150">
        <f>(L11+L12+L13+L14)-L45</f>
        <v>5423.8839999999909</v>
      </c>
      <c r="M49" s="8" t="s">
        <v>1</v>
      </c>
      <c r="U49" s="8" t="s">
        <v>1</v>
      </c>
    </row>
    <row r="50" spans="1:26" ht="19.95" customHeight="1" thickBot="1" x14ac:dyDescent="0.3">
      <c r="A50" s="69"/>
      <c r="B50" s="70"/>
      <c r="C50" s="70"/>
      <c r="D50" s="70"/>
      <c r="E50" s="70"/>
      <c r="F50" s="185" t="s">
        <v>159</v>
      </c>
      <c r="G50" s="185"/>
      <c r="H50" s="185"/>
      <c r="I50" s="185"/>
      <c r="J50" s="185"/>
      <c r="K50" s="3"/>
      <c r="M50" s="8"/>
      <c r="U50" s="8"/>
    </row>
    <row r="51" spans="1:26" ht="15.6" thickTop="1" x14ac:dyDescent="0.25">
      <c r="K51" s="3"/>
    </row>
    <row r="52" spans="1:26" x14ac:dyDescent="0.25">
      <c r="A52" s="164" t="s">
        <v>60</v>
      </c>
      <c r="B52" s="164"/>
      <c r="C52" s="12"/>
      <c r="D52" s="165" t="s">
        <v>61</v>
      </c>
      <c r="E52" s="165"/>
      <c r="F52" s="165"/>
      <c r="G52" s="165"/>
      <c r="H52" s="165"/>
      <c r="I52" s="159"/>
      <c r="J52" s="159"/>
      <c r="K52" s="3"/>
      <c r="M52" s="8" t="s">
        <v>1</v>
      </c>
      <c r="O52" s="71" t="s">
        <v>1</v>
      </c>
      <c r="U52" s="8" t="s">
        <v>1</v>
      </c>
      <c r="Z52" s="66" t="s">
        <v>1</v>
      </c>
    </row>
    <row r="53" spans="1:26" x14ac:dyDescent="0.25">
      <c r="C53" s="72"/>
      <c r="D53" s="73">
        <f>$G$53-($B$62*5)</f>
        <v>-0.25</v>
      </c>
      <c r="E53" s="73">
        <f>$G$53-($B$62*2)</f>
        <v>-0.1</v>
      </c>
      <c r="F53" s="73">
        <f>$G$53-($B$62)</f>
        <v>-0.05</v>
      </c>
      <c r="G53" s="73">
        <v>0</v>
      </c>
      <c r="H53" s="73">
        <f>$G$53+($B$62)</f>
        <v>0.05</v>
      </c>
      <c r="I53" s="73">
        <f>$G$53+($B$62*2)</f>
        <v>0.1</v>
      </c>
      <c r="J53" s="73">
        <f>$G$53+($B$62*5)</f>
        <v>0.25</v>
      </c>
      <c r="K53" s="3"/>
      <c r="M53" s="8" t="s">
        <v>1</v>
      </c>
      <c r="O53" s="71" t="s">
        <v>1</v>
      </c>
      <c r="U53" s="8" t="s">
        <v>1</v>
      </c>
      <c r="Z53" s="66" t="s">
        <v>1</v>
      </c>
    </row>
    <row r="54" spans="1:26" x14ac:dyDescent="0.25">
      <c r="C54" s="72"/>
      <c r="D54" s="166" t="s">
        <v>62</v>
      </c>
      <c r="E54" s="167"/>
      <c r="F54" s="167"/>
      <c r="G54" s="167"/>
      <c r="H54" s="167"/>
      <c r="I54" s="167"/>
      <c r="J54" s="167"/>
      <c r="K54" s="3"/>
      <c r="M54" s="8"/>
      <c r="O54" s="71"/>
      <c r="U54" s="8"/>
      <c r="Z54" s="66"/>
    </row>
    <row r="55" spans="1:26" ht="18" customHeight="1" x14ac:dyDescent="0.25">
      <c r="B55" s="74">
        <f>$B$57-($B$62*2)</f>
        <v>-0.1</v>
      </c>
      <c r="C55" s="12"/>
      <c r="D55" s="75">
        <f>(($I$15*(1+D$53))-($I$45*(1+$B55)))/$D$4</f>
        <v>36.677149285714258</v>
      </c>
      <c r="E55" s="75">
        <f>(($I$15*(1+E$53))-($I$45*(1+$B55)))/$D$4</f>
        <v>244.10652428571427</v>
      </c>
      <c r="F55" s="75">
        <f>(($I$15*(1+F$53))-($I$45*(1+$B55)))/$D$4</f>
        <v>313.24964928571427</v>
      </c>
      <c r="G55" s="75">
        <f>(($I$15*(1+G$53))-($I$45*(1+$B55)))/$D$4</f>
        <v>382.39277428571427</v>
      </c>
      <c r="H55" s="75">
        <f>(($I$15*(1+H$53))-($I$45*(1+$B55)))/$D$4</f>
        <v>451.53589928571427</v>
      </c>
      <c r="I55" s="75">
        <f>(($I$15*(1+I$53))-($I$45*(1+$B55)))/$D$4</f>
        <v>520.67902428571426</v>
      </c>
      <c r="J55" s="75">
        <f>(($I$15*(1+J$53))-($I$45*(1+$B55)))/$D$4</f>
        <v>728.10839928571431</v>
      </c>
      <c r="K55" s="3"/>
      <c r="M55" s="8" t="s">
        <v>1</v>
      </c>
      <c r="O55" s="71" t="s">
        <v>1</v>
      </c>
      <c r="U55" s="8" t="s">
        <v>1</v>
      </c>
      <c r="Z55" s="66" t="s">
        <v>1</v>
      </c>
    </row>
    <row r="56" spans="1:26" x14ac:dyDescent="0.25">
      <c r="A56" s="25" t="s">
        <v>63</v>
      </c>
      <c r="B56" s="74">
        <f>$B$57-$B$62</f>
        <v>-0.05</v>
      </c>
      <c r="C56" s="12"/>
      <c r="D56" s="75">
        <f>(($I$15*(1+D$53))-($I$45*(1+$B56)))/$D$4</f>
        <v>-18.904502142857091</v>
      </c>
      <c r="E56" s="75">
        <f>(($I$15*(1+E$53))-($I$45*(1+$B56)))/$D$4</f>
        <v>188.5248728571429</v>
      </c>
      <c r="F56" s="75">
        <f>(($I$15*(1+F$53))-($I$45*(1+$B56)))/$D$4</f>
        <v>257.66799785714289</v>
      </c>
      <c r="G56" s="75">
        <f>(($I$15*(1+G$53))-($I$45*(1+$B56)))/$D$4</f>
        <v>326.81112285714289</v>
      </c>
      <c r="H56" s="75">
        <f>(($I$15*(1+H$53))-($I$45*(1+$B56)))/$D$4</f>
        <v>395.95424785714289</v>
      </c>
      <c r="I56" s="75">
        <f>(($I$15*(1+I$53))-($I$45*(1+$B56)))/$D$4</f>
        <v>465.09737285714289</v>
      </c>
      <c r="J56" s="75">
        <f>(($I$15*(1+J$53))-($I$45*(1+$B56)))/$D$4</f>
        <v>672.52674785714294</v>
      </c>
      <c r="K56" s="3"/>
      <c r="M56" s="8" t="s">
        <v>1</v>
      </c>
      <c r="O56" s="71" t="s">
        <v>1</v>
      </c>
      <c r="U56" s="8" t="s">
        <v>1</v>
      </c>
      <c r="Z56" s="66" t="s">
        <v>1</v>
      </c>
    </row>
    <row r="57" spans="1:26" x14ac:dyDescent="0.25">
      <c r="A57" s="25" t="s">
        <v>64</v>
      </c>
      <c r="B57" s="74">
        <v>0</v>
      </c>
      <c r="C57" s="12"/>
      <c r="D57" s="75">
        <f>(($I$15*(1+D$53))-($I$45*(1+$B57)))/$D$4</f>
        <v>-74.486153571428588</v>
      </c>
      <c r="E57" s="75">
        <f>(($I$15*(1+E$53))-($I$45*(1+$B57)))/$D$4</f>
        <v>132.94322142857141</v>
      </c>
      <c r="F57" s="75">
        <f>(($I$15*(1+F$53))-($I$45*(1+$B57)))/$D$4</f>
        <v>202.0863464285714</v>
      </c>
      <c r="G57" s="76">
        <f>(($I$15*(1+G$53))-($I$45*(1+$B57)))/$D$4</f>
        <v>271.2294714285714</v>
      </c>
      <c r="H57" s="75">
        <f>(($I$15*(1+H$53))-($I$45*(1+$B57)))/$D$4</f>
        <v>340.3725964285714</v>
      </c>
      <c r="I57" s="75">
        <f>(($I$15*(1+I$53))-($I$45*(1+$B57)))/$D$4</f>
        <v>409.5157214285714</v>
      </c>
      <c r="J57" s="75">
        <f>(($I$15*(1+J$53))-($I$45*(1+$B57)))/$D$4</f>
        <v>616.94509642857145</v>
      </c>
      <c r="K57" s="3"/>
      <c r="M57" s="8" t="s">
        <v>1</v>
      </c>
      <c r="O57" s="71" t="s">
        <v>1</v>
      </c>
      <c r="U57" s="8" t="s">
        <v>1</v>
      </c>
      <c r="Z57" s="66" t="s">
        <v>1</v>
      </c>
    </row>
    <row r="58" spans="1:26" x14ac:dyDescent="0.25">
      <c r="A58" s="25" t="s">
        <v>65</v>
      </c>
      <c r="B58" s="74">
        <f>$B$57+$B$62</f>
        <v>0.05</v>
      </c>
      <c r="C58" s="12"/>
      <c r="D58" s="75">
        <f>(($I$15*(1+D$53))-($I$45*(1+$B58)))/$D$4</f>
        <v>-130.06780500000008</v>
      </c>
      <c r="E58" s="75">
        <f>(($I$15*(1+E$53))-($I$45*(1+$B58)))/$D$4</f>
        <v>77.361569999999915</v>
      </c>
      <c r="F58" s="75">
        <f>(($I$15*(1+F$53))-($I$45*(1+$B58)))/$D$4</f>
        <v>146.50469499999991</v>
      </c>
      <c r="G58" s="75">
        <f>(($I$15*(1+G$53))-($I$45*(1+$B58)))/$D$4</f>
        <v>215.64781999999991</v>
      </c>
      <c r="H58" s="75">
        <f>(($I$15*(1+H$53))-($I$45*(1+$B58)))/$D$4</f>
        <v>284.79094499999991</v>
      </c>
      <c r="I58" s="75">
        <f>(($I$15*(1+I$53))-($I$45*(1+$B58)))/$D$4</f>
        <v>353.93406999999991</v>
      </c>
      <c r="J58" s="75">
        <f>(($I$15*(1+J$53))-($I$45*(1+$B58)))/$D$4</f>
        <v>561.36344499999996</v>
      </c>
      <c r="K58" s="3"/>
      <c r="M58" s="8" t="s">
        <v>1</v>
      </c>
      <c r="O58" s="71" t="s">
        <v>1</v>
      </c>
      <c r="U58" s="8" t="s">
        <v>1</v>
      </c>
      <c r="Z58" s="66" t="s">
        <v>1</v>
      </c>
    </row>
    <row r="59" spans="1:26" x14ac:dyDescent="0.25">
      <c r="A59" s="25" t="s">
        <v>66</v>
      </c>
      <c r="B59" s="74">
        <f>$B$57+($B$62*2)</f>
        <v>0.1</v>
      </c>
      <c r="C59" s="12"/>
      <c r="D59" s="75">
        <f>(($I$15*(1+D$53))-($I$45*(1+$B59)))/$D$4</f>
        <v>-185.64945642857157</v>
      </c>
      <c r="E59" s="75">
        <f>(($I$15*(1+E$53))-($I$45*(1+$B59)))/$D$4</f>
        <v>21.779918571428425</v>
      </c>
      <c r="F59" s="75">
        <f>(($I$15*(1+F$53))-($I$45*(1+$B59)))/$D$4</f>
        <v>90.923043571428423</v>
      </c>
      <c r="G59" s="75">
        <f>(($I$15*(1+G$53))-($I$45*(1+$B59)))/$D$4</f>
        <v>160.06616857142842</v>
      </c>
      <c r="H59" s="75">
        <f>(($I$15*(1+H$53))-($I$45*(1+$B59)))/$D$4</f>
        <v>229.20929357142842</v>
      </c>
      <c r="I59" s="75">
        <f>(($I$15*(1+I$53))-($I$45*(1+$B59)))/$D$4</f>
        <v>298.35241857142842</v>
      </c>
      <c r="J59" s="75">
        <f>(($I$15*(1+J$53))-($I$45*(1+$B59)))/$D$4</f>
        <v>505.78179357142841</v>
      </c>
      <c r="K59" s="3"/>
      <c r="M59" s="8" t="s">
        <v>1</v>
      </c>
      <c r="U59" s="8" t="s">
        <v>1</v>
      </c>
    </row>
    <row r="60" spans="1:26" x14ac:dyDescent="0.25">
      <c r="B60" s="74">
        <f>$B$57+($B$62*5)</f>
        <v>0.25</v>
      </c>
      <c r="C60" s="12"/>
      <c r="D60" s="75">
        <f>(($I$15*(1+D$53))-($I$45*(1+$B60)))/$D$4</f>
        <v>-352.39441071428564</v>
      </c>
      <c r="E60" s="75">
        <f>(($I$15*(1+E$53))-($I$45*(1+$B60)))/$D$4</f>
        <v>-144.96503571428562</v>
      </c>
      <c r="F60" s="75">
        <f>(($I$15*(1+F$53))-($I$45*(1+$B60)))/$D$4</f>
        <v>-75.821910714285622</v>
      </c>
      <c r="G60" s="75">
        <f>(($I$15*(1+G$53))-($I$45*(1+$B60)))/$D$4</f>
        <v>-6.6787857142856231</v>
      </c>
      <c r="H60" s="75">
        <f>(($I$15*(1+H$53))-($I$45*(1+$B60)))/$D$4</f>
        <v>62.464339285714374</v>
      </c>
      <c r="I60" s="75">
        <f>(($I$15*(1+I$53))-($I$45*(1+$B60)))/$D$4</f>
        <v>131.60746428571437</v>
      </c>
      <c r="J60" s="75">
        <f>(($I$15*(1+J$53))-($I$45*(1+$B60)))/$D$4</f>
        <v>339.03683928571439</v>
      </c>
      <c r="K60" s="3"/>
      <c r="M60" s="8" t="s">
        <v>1</v>
      </c>
      <c r="U60" s="8" t="s">
        <v>1</v>
      </c>
      <c r="Z60" s="66" t="s">
        <v>1</v>
      </c>
    </row>
    <row r="61" spans="1:26" ht="1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3"/>
      <c r="M61" s="8"/>
      <c r="U61" s="8"/>
      <c r="Z61" s="66"/>
    </row>
    <row r="62" spans="1:26" ht="15" customHeight="1" x14ac:dyDescent="0.25">
      <c r="B62" s="78">
        <v>0.05</v>
      </c>
      <c r="C62" s="79" t="s">
        <v>67</v>
      </c>
      <c r="E62" s="80"/>
      <c r="F62" s="80"/>
      <c r="G62" s="80"/>
      <c r="H62" s="80"/>
      <c r="I62" s="80"/>
      <c r="J62" s="80"/>
      <c r="K62" s="3"/>
      <c r="M62" s="8"/>
      <c r="U62" s="8"/>
      <c r="Z62" s="66"/>
    </row>
    <row r="63" spans="1:26" ht="15" customHeight="1" thickBot="1" x14ac:dyDescent="0.3">
      <c r="A63" s="81"/>
      <c r="B63" s="82"/>
      <c r="C63" s="83"/>
      <c r="D63" s="84"/>
      <c r="E63" s="84"/>
      <c r="F63" s="84"/>
      <c r="G63" s="84"/>
      <c r="H63" s="84"/>
      <c r="I63" s="84"/>
      <c r="J63" s="84"/>
      <c r="K63" s="3"/>
      <c r="M63" s="8"/>
      <c r="U63" s="8"/>
      <c r="Z63" s="66"/>
    </row>
    <row r="64" spans="1:26" ht="16.5" customHeight="1" thickTop="1" x14ac:dyDescent="0.25">
      <c r="A64" s="168" t="s">
        <v>68</v>
      </c>
      <c r="B64" s="169"/>
      <c r="C64" s="169"/>
      <c r="D64" s="169"/>
      <c r="E64" s="169"/>
      <c r="F64" s="169"/>
      <c r="G64" s="169"/>
      <c r="H64" s="169"/>
      <c r="I64" s="169"/>
      <c r="J64" s="169"/>
      <c r="K64" s="3"/>
      <c r="L64" s="35" t="s">
        <v>1</v>
      </c>
      <c r="M64" s="8" t="s">
        <v>1</v>
      </c>
      <c r="N64" s="35" t="s">
        <v>1</v>
      </c>
      <c r="U64" s="8" t="s">
        <v>1</v>
      </c>
    </row>
    <row r="65" spans="1:26" ht="16.5" customHeight="1" x14ac:dyDescent="0.25">
      <c r="A65" s="26"/>
      <c r="B65" s="12"/>
      <c r="C65" s="24"/>
      <c r="D65" s="12"/>
      <c r="E65" s="31"/>
      <c r="F65" s="25"/>
      <c r="G65" s="12"/>
      <c r="H65" s="31"/>
      <c r="I65" s="12"/>
      <c r="J65" s="26"/>
      <c r="K65" s="3"/>
      <c r="L65" s="35"/>
      <c r="M65" s="8"/>
      <c r="N65" s="35"/>
      <c r="U65" s="8"/>
    </row>
    <row r="66" spans="1:26" ht="18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3"/>
      <c r="L66" s="35" t="s">
        <v>1</v>
      </c>
      <c r="M66" s="8" t="s">
        <v>1</v>
      </c>
      <c r="N66" s="35" t="s">
        <v>1</v>
      </c>
      <c r="U66" s="8" t="s">
        <v>1</v>
      </c>
      <c r="Z66" s="66" t="s">
        <v>1</v>
      </c>
    </row>
    <row r="67" spans="1:26" ht="21" customHeight="1" x14ac:dyDescent="0.3">
      <c r="A67" s="170" t="str">
        <f>A3</f>
        <v>Beef Cow-Calf Herd On-Shares</v>
      </c>
      <c r="B67" s="171"/>
      <c r="C67" s="171"/>
      <c r="D67" s="171"/>
      <c r="E67" s="172"/>
      <c r="F67" s="172"/>
      <c r="G67" s="85"/>
      <c r="H67" s="85"/>
      <c r="I67" s="85"/>
      <c r="J67" s="86" t="s">
        <v>69</v>
      </c>
      <c r="K67" s="3"/>
      <c r="M67" s="8" t="s">
        <v>1</v>
      </c>
      <c r="U67" s="8" t="s">
        <v>1</v>
      </c>
    </row>
    <row r="68" spans="1:26" ht="21" customHeight="1" x14ac:dyDescent="0.3">
      <c r="A68" s="87" t="s">
        <v>70</v>
      </c>
      <c r="B68" s="12"/>
      <c r="C68" s="24"/>
      <c r="D68" s="180"/>
      <c r="E68" s="181"/>
      <c r="F68" s="181"/>
      <c r="G68" s="181" t="s">
        <v>71</v>
      </c>
      <c r="H68" s="181" t="s">
        <v>155</v>
      </c>
      <c r="I68" s="89" t="s">
        <v>150</v>
      </c>
      <c r="J68" s="88"/>
      <c r="K68" s="3"/>
      <c r="M68" s="8" t="s">
        <v>1</v>
      </c>
      <c r="U68" s="8" t="s">
        <v>1</v>
      </c>
    </row>
    <row r="69" spans="1:26" ht="31.2" x14ac:dyDescent="0.25">
      <c r="A69" s="90" t="s">
        <v>72</v>
      </c>
      <c r="B69" s="12"/>
      <c r="C69" s="24"/>
      <c r="D69" s="182" t="s">
        <v>152</v>
      </c>
      <c r="E69" s="182" t="s">
        <v>153</v>
      </c>
      <c r="F69" s="182" t="s">
        <v>154</v>
      </c>
      <c r="G69" s="181" t="s">
        <v>73</v>
      </c>
      <c r="H69" s="181" t="s">
        <v>73</v>
      </c>
      <c r="I69" s="89" t="s">
        <v>151</v>
      </c>
      <c r="J69" s="91" t="s">
        <v>74</v>
      </c>
      <c r="K69" s="3"/>
      <c r="M69" s="8" t="s">
        <v>1</v>
      </c>
      <c r="U69" s="8" t="s">
        <v>1</v>
      </c>
    </row>
    <row r="70" spans="1:26" x14ac:dyDescent="0.25">
      <c r="A70" s="37"/>
      <c r="B70" s="156" t="s">
        <v>75</v>
      </c>
      <c r="C70" s="157"/>
      <c r="D70" s="183">
        <v>85</v>
      </c>
      <c r="E70" s="183">
        <v>100</v>
      </c>
      <c r="F70" s="183">
        <f>ROUND((D4*(G5/100)+0.25),0)</f>
        <v>93</v>
      </c>
      <c r="G70" s="94">
        <v>0</v>
      </c>
      <c r="H70" s="94">
        <v>15</v>
      </c>
      <c r="I70" s="92">
        <v>4</v>
      </c>
      <c r="J70" s="91" t="s">
        <v>76</v>
      </c>
      <c r="K70" s="3"/>
      <c r="M70" s="8" t="s">
        <v>1</v>
      </c>
      <c r="U70" s="8" t="s">
        <v>1</v>
      </c>
    </row>
    <row r="71" spans="1:26" x14ac:dyDescent="0.25">
      <c r="A71" s="93" t="s">
        <v>77</v>
      </c>
      <c r="B71" s="176" t="s">
        <v>78</v>
      </c>
      <c r="C71" s="177"/>
      <c r="D71" s="94">
        <v>60</v>
      </c>
      <c r="E71" s="94">
        <v>80</v>
      </c>
      <c r="F71" s="94">
        <v>225</v>
      </c>
      <c r="G71" s="94">
        <v>135</v>
      </c>
      <c r="H71" s="94">
        <v>135</v>
      </c>
      <c r="I71" s="94">
        <v>120</v>
      </c>
      <c r="J71" s="95" t="s">
        <v>79</v>
      </c>
      <c r="K71" s="3"/>
      <c r="M71" s="8" t="s">
        <v>1</v>
      </c>
      <c r="U71" s="8" t="s">
        <v>1</v>
      </c>
      <c r="Z71" s="66" t="s">
        <v>1</v>
      </c>
    </row>
    <row r="72" spans="1:26" x14ac:dyDescent="0.25">
      <c r="A72" s="37"/>
      <c r="B72" s="26"/>
      <c r="C72" s="96" t="s">
        <v>80</v>
      </c>
      <c r="D72" s="92"/>
      <c r="E72" s="92"/>
      <c r="F72" s="92"/>
      <c r="G72" s="92"/>
      <c r="H72" s="92"/>
      <c r="I72" s="92"/>
      <c r="J72" s="92"/>
      <c r="K72" s="97"/>
      <c r="M72" s="8" t="s">
        <v>1</v>
      </c>
      <c r="U72" s="8" t="s">
        <v>1</v>
      </c>
      <c r="Z72" s="66" t="s">
        <v>1</v>
      </c>
    </row>
    <row r="73" spans="1:26" ht="15.6" x14ac:dyDescent="0.3">
      <c r="A73" s="98" t="s">
        <v>149</v>
      </c>
      <c r="B73" s="99" t="s">
        <v>81</v>
      </c>
      <c r="C73" s="100"/>
      <c r="D73" s="29">
        <v>12</v>
      </c>
      <c r="E73" s="29">
        <v>12</v>
      </c>
      <c r="F73" s="29">
        <v>28</v>
      </c>
      <c r="G73" s="29">
        <v>8</v>
      </c>
      <c r="H73" s="29">
        <v>8</v>
      </c>
      <c r="I73" s="29">
        <v>0</v>
      </c>
      <c r="J73" s="31">
        <f t="shared" ref="J73:J79" si="9">(($E$70*$E$71*E73)+($F$70*$F$71*F73)+($G$70*$G$71*G73)+($H$70*$H$71*H73)+($I$70*$I$71*I73)+($D$70*$D$71*D73))/2000</f>
        <v>379.65</v>
      </c>
      <c r="K73" s="3"/>
      <c r="M73" s="8"/>
      <c r="U73" s="8"/>
      <c r="Z73" s="66"/>
    </row>
    <row r="74" spans="1:26" ht="15.6" x14ac:dyDescent="0.3">
      <c r="A74" s="98" t="s">
        <v>82</v>
      </c>
      <c r="B74" s="99" t="s">
        <v>81</v>
      </c>
      <c r="C74" s="100"/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31">
        <f t="shared" si="9"/>
        <v>0</v>
      </c>
      <c r="K74" s="3"/>
      <c r="M74" s="8"/>
      <c r="U74" s="8"/>
      <c r="Z74" s="66"/>
    </row>
    <row r="75" spans="1:26" ht="15.6" x14ac:dyDescent="0.3">
      <c r="A75" s="98" t="s">
        <v>83</v>
      </c>
      <c r="B75" s="99" t="s">
        <v>81</v>
      </c>
      <c r="C75" s="100"/>
      <c r="D75" s="29">
        <v>0</v>
      </c>
      <c r="E75" s="29">
        <v>0</v>
      </c>
      <c r="F75" s="29">
        <v>0</v>
      </c>
      <c r="G75" s="29">
        <v>4</v>
      </c>
      <c r="H75" s="29">
        <v>4</v>
      </c>
      <c r="I75" s="29">
        <v>0</v>
      </c>
      <c r="J75" s="31">
        <f t="shared" si="9"/>
        <v>4.05</v>
      </c>
      <c r="K75" s="3"/>
    </row>
    <row r="76" spans="1:26" ht="15" customHeight="1" x14ac:dyDescent="0.3">
      <c r="A76" s="98" t="s">
        <v>84</v>
      </c>
      <c r="B76" s="99" t="s">
        <v>81</v>
      </c>
      <c r="C76" s="100"/>
      <c r="D76" s="29">
        <v>15</v>
      </c>
      <c r="E76" s="29">
        <v>15</v>
      </c>
      <c r="F76" s="29">
        <v>0</v>
      </c>
      <c r="G76" s="29">
        <v>0</v>
      </c>
      <c r="H76" s="29">
        <v>0</v>
      </c>
      <c r="I76" s="29">
        <v>20</v>
      </c>
      <c r="J76" s="31">
        <f t="shared" si="9"/>
        <v>103.05</v>
      </c>
      <c r="K76" s="3"/>
      <c r="L76" s="35" t="s">
        <v>1</v>
      </c>
      <c r="M76" s="8" t="s">
        <v>1</v>
      </c>
      <c r="N76" s="35" t="s">
        <v>1</v>
      </c>
      <c r="U76" s="8" t="s">
        <v>1</v>
      </c>
      <c r="Z76" s="66" t="s">
        <v>1</v>
      </c>
    </row>
    <row r="77" spans="1:26" ht="15.6" x14ac:dyDescent="0.3">
      <c r="A77" s="101" t="s">
        <v>85</v>
      </c>
      <c r="B77" s="99" t="s">
        <v>81</v>
      </c>
      <c r="C77" s="100">
        <v>56</v>
      </c>
      <c r="D77" s="29">
        <v>0</v>
      </c>
      <c r="E77" s="29">
        <v>0</v>
      </c>
      <c r="F77" s="29">
        <v>0</v>
      </c>
      <c r="G77" s="29">
        <v>4</v>
      </c>
      <c r="H77" s="29">
        <v>4</v>
      </c>
      <c r="I77" s="29">
        <v>0</v>
      </c>
      <c r="J77" s="31">
        <f t="shared" si="9"/>
        <v>4.05</v>
      </c>
      <c r="K77" s="3"/>
    </row>
    <row r="78" spans="1:26" ht="15" customHeight="1" x14ac:dyDescent="0.3">
      <c r="A78" s="98" t="s">
        <v>86</v>
      </c>
      <c r="B78" s="99" t="s">
        <v>81</v>
      </c>
      <c r="C78" s="100"/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31">
        <f t="shared" si="9"/>
        <v>0</v>
      </c>
      <c r="K78" s="3"/>
      <c r="M78" s="8" t="s">
        <v>1</v>
      </c>
      <c r="U78" s="8" t="s">
        <v>1</v>
      </c>
    </row>
    <row r="79" spans="1:26" ht="15.6" x14ac:dyDescent="0.3">
      <c r="A79" s="98" t="s">
        <v>156</v>
      </c>
      <c r="B79" s="99" t="s">
        <v>81</v>
      </c>
      <c r="C79" s="100"/>
      <c r="D79" s="29">
        <v>5</v>
      </c>
      <c r="E79" s="29">
        <v>7</v>
      </c>
      <c r="F79" s="29">
        <v>0</v>
      </c>
      <c r="G79" s="29">
        <v>4</v>
      </c>
      <c r="H79" s="29">
        <v>4</v>
      </c>
      <c r="I79" s="29">
        <v>4</v>
      </c>
      <c r="J79" s="31">
        <f t="shared" si="9"/>
        <v>45.76</v>
      </c>
      <c r="K79" s="3"/>
      <c r="L79" s="35" t="s">
        <v>1</v>
      </c>
      <c r="M79" s="8" t="s">
        <v>1</v>
      </c>
      <c r="N79" s="35" t="s">
        <v>1</v>
      </c>
      <c r="U79" s="8" t="s">
        <v>1</v>
      </c>
    </row>
    <row r="80" spans="1:26" ht="15.6" thickBot="1" x14ac:dyDescent="0.3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97"/>
      <c r="M80" s="8" t="s">
        <v>1</v>
      </c>
      <c r="U80" s="8" t="s">
        <v>1</v>
      </c>
    </row>
    <row r="81" spans="1:26" ht="21" customHeight="1" thickTop="1" x14ac:dyDescent="0.3">
      <c r="A81" s="87" t="s">
        <v>87</v>
      </c>
      <c r="B81" s="12"/>
      <c r="C81" s="88"/>
      <c r="D81" s="88" t="s">
        <v>88</v>
      </c>
      <c r="E81" s="103"/>
      <c r="F81" s="25" t="s">
        <v>63</v>
      </c>
      <c r="G81" s="88"/>
      <c r="H81" s="25" t="s">
        <v>89</v>
      </c>
      <c r="I81" s="25" t="s">
        <v>63</v>
      </c>
      <c r="J81" s="88" t="s">
        <v>90</v>
      </c>
      <c r="K81" s="3"/>
      <c r="M81" s="8" t="s">
        <v>1</v>
      </c>
      <c r="U81" s="8" t="s">
        <v>1</v>
      </c>
      <c r="Z81" s="66" t="s">
        <v>1</v>
      </c>
    </row>
    <row r="82" spans="1:26" x14ac:dyDescent="0.25">
      <c r="A82" s="104" t="s">
        <v>91</v>
      </c>
      <c r="B82" s="105"/>
      <c r="C82" s="106"/>
      <c r="D82" s="106" t="s">
        <v>92</v>
      </c>
      <c r="E82" s="106"/>
      <c r="F82" s="107" t="s">
        <v>93</v>
      </c>
      <c r="G82" s="106"/>
      <c r="H82" s="107" t="s">
        <v>94</v>
      </c>
      <c r="I82" s="107" t="s">
        <v>95</v>
      </c>
      <c r="J82" s="106" t="s">
        <v>96</v>
      </c>
      <c r="K82" s="3"/>
      <c r="M82" s="8" t="s">
        <v>1</v>
      </c>
      <c r="U82" s="8" t="s">
        <v>1</v>
      </c>
    </row>
    <row r="83" spans="1:26" ht="12" customHeight="1" x14ac:dyDescent="0.25">
      <c r="A83" s="108"/>
      <c r="B83" s="108"/>
      <c r="C83" s="108"/>
      <c r="D83" s="108"/>
      <c r="E83" s="108"/>
      <c r="F83" s="25"/>
      <c r="G83" s="108"/>
      <c r="H83" s="25"/>
      <c r="I83" s="25"/>
      <c r="J83" s="108"/>
      <c r="K83" s="3"/>
      <c r="M83" s="8" t="s">
        <v>1</v>
      </c>
      <c r="U83" s="8" t="s">
        <v>1</v>
      </c>
      <c r="Z83" s="66" t="s">
        <v>1</v>
      </c>
    </row>
    <row r="84" spans="1:26" x14ac:dyDescent="0.25">
      <c r="A84" s="98" t="s">
        <v>22</v>
      </c>
      <c r="B84" s="37"/>
      <c r="C84" s="12"/>
      <c r="D84" s="109">
        <v>0</v>
      </c>
      <c r="E84" s="37"/>
      <c r="F84" s="110">
        <v>0.1</v>
      </c>
      <c r="G84" s="37"/>
      <c r="H84" s="111">
        <v>0</v>
      </c>
      <c r="I84" s="112">
        <v>1</v>
      </c>
      <c r="J84" s="32">
        <f>(IF(H84&gt;0,PMT(F84,H84,-D84),0))*(I84)</f>
        <v>0</v>
      </c>
      <c r="K84" s="113"/>
      <c r="L84" s="35" t="s">
        <v>1</v>
      </c>
      <c r="M84" s="8" t="s">
        <v>1</v>
      </c>
      <c r="N84" s="35" t="s">
        <v>1</v>
      </c>
      <c r="U84" s="8" t="s">
        <v>1</v>
      </c>
      <c r="Z84" s="66" t="s">
        <v>1</v>
      </c>
    </row>
    <row r="85" spans="1:26" x14ac:dyDescent="0.25">
      <c r="A85" s="98" t="s">
        <v>97</v>
      </c>
      <c r="B85" s="37"/>
      <c r="C85" s="12"/>
      <c r="D85" s="109">
        <v>0</v>
      </c>
      <c r="E85" s="37"/>
      <c r="F85" s="110">
        <v>0</v>
      </c>
      <c r="G85" s="37"/>
      <c r="H85" s="111">
        <v>0</v>
      </c>
      <c r="I85" s="112">
        <v>1</v>
      </c>
      <c r="J85" s="32">
        <f>(IF(H85&gt;0,PMT(F85,H85,-D85),0))*(I85)</f>
        <v>0</v>
      </c>
      <c r="K85" s="113"/>
    </row>
    <row r="86" spans="1:26" x14ac:dyDescent="0.25">
      <c r="A86" s="98" t="s">
        <v>97</v>
      </c>
      <c r="B86" s="37"/>
      <c r="C86" s="12"/>
      <c r="D86" s="109">
        <v>0</v>
      </c>
      <c r="E86" s="37"/>
      <c r="F86" s="110">
        <v>0</v>
      </c>
      <c r="G86" s="37"/>
      <c r="H86" s="111">
        <v>0</v>
      </c>
      <c r="I86" s="112">
        <v>1</v>
      </c>
      <c r="J86" s="32">
        <f>(IF(H86&gt;0,PMT(F86,H86,-D86),0))*(I86)</f>
        <v>0</v>
      </c>
      <c r="K86" s="113"/>
    </row>
    <row r="87" spans="1:26" ht="15" customHeight="1" x14ac:dyDescent="0.25">
      <c r="A87" s="114"/>
      <c r="B87" s="114"/>
      <c r="C87" s="114"/>
      <c r="D87" s="114"/>
      <c r="E87" s="114"/>
      <c r="F87" s="114"/>
      <c r="G87" s="114"/>
      <c r="H87" s="114"/>
      <c r="I87" s="114"/>
      <c r="J87" s="115"/>
      <c r="K87" s="113"/>
      <c r="M87" s="8" t="s">
        <v>1</v>
      </c>
      <c r="U87" s="8" t="s">
        <v>1</v>
      </c>
      <c r="Z87" s="66" t="s">
        <v>1</v>
      </c>
    </row>
    <row r="88" spans="1:26" ht="15.6" thickBot="1" x14ac:dyDescent="0.3">
      <c r="A88" s="116"/>
      <c r="B88" s="116"/>
      <c r="C88" s="117"/>
      <c r="D88" s="118"/>
      <c r="E88" s="116"/>
      <c r="F88" s="119" t="s">
        <v>98</v>
      </c>
      <c r="G88" s="120"/>
      <c r="H88" s="120"/>
      <c r="I88" s="121"/>
      <c r="J88" s="122">
        <f>SUM(J83:J87)</f>
        <v>0</v>
      </c>
      <c r="K88" s="113"/>
      <c r="M88" s="8" t="s">
        <v>1</v>
      </c>
      <c r="U88" s="8" t="s">
        <v>1</v>
      </c>
      <c r="Z88" s="66" t="s">
        <v>1</v>
      </c>
    </row>
    <row r="89" spans="1:26" ht="21" customHeight="1" thickTop="1" x14ac:dyDescent="0.3">
      <c r="A89" s="87" t="s">
        <v>99</v>
      </c>
      <c r="B89" s="123"/>
      <c r="D89" s="124" t="s">
        <v>100</v>
      </c>
      <c r="E89" s="12"/>
      <c r="F89" s="12"/>
      <c r="G89" s="12"/>
      <c r="H89" s="12"/>
      <c r="I89" s="12"/>
      <c r="J89" s="12"/>
      <c r="K89" s="3"/>
      <c r="M89" s="8" t="s">
        <v>1</v>
      </c>
      <c r="U89" s="8" t="s">
        <v>1</v>
      </c>
    </row>
    <row r="90" spans="1:26" ht="24" customHeight="1" x14ac:dyDescent="0.25">
      <c r="A90" s="16">
        <f>D4</f>
        <v>100</v>
      </c>
      <c r="B90" s="11" t="s">
        <v>101</v>
      </c>
      <c r="C90" s="14"/>
      <c r="D90" s="16">
        <f>ROUND(((D4/A6)+0.25),0)</f>
        <v>3</v>
      </c>
      <c r="E90" s="11" t="s">
        <v>102</v>
      </c>
      <c r="F90" s="12"/>
      <c r="G90" s="12"/>
      <c r="H90" s="12"/>
      <c r="I90" s="12"/>
      <c r="J90" s="12"/>
      <c r="K90" s="125"/>
      <c r="M90" s="8" t="s">
        <v>1</v>
      </c>
      <c r="O90" s="71" t="s">
        <v>1</v>
      </c>
      <c r="U90" s="8" t="s">
        <v>1</v>
      </c>
      <c r="Z90" s="66" t="s">
        <v>1</v>
      </c>
    </row>
    <row r="91" spans="1:26" x14ac:dyDescent="0.25">
      <c r="A91" s="98" t="s">
        <v>103</v>
      </c>
      <c r="B91" s="37"/>
      <c r="C91" s="37"/>
      <c r="D91" s="92">
        <v>2</v>
      </c>
      <c r="E91" s="26" t="s">
        <v>104</v>
      </c>
      <c r="F91" s="126">
        <v>2</v>
      </c>
      <c r="G91" s="26" t="s">
        <v>105</v>
      </c>
      <c r="H91" s="12"/>
      <c r="I91" s="32">
        <f>D91*F91</f>
        <v>4</v>
      </c>
      <c r="J91" s="32"/>
      <c r="K91" s="125"/>
      <c r="M91" s="8"/>
      <c r="O91" s="71" t="s">
        <v>1</v>
      </c>
      <c r="U91" s="8" t="s">
        <v>1</v>
      </c>
      <c r="Z91" s="66" t="s">
        <v>1</v>
      </c>
    </row>
    <row r="92" spans="1:26" x14ac:dyDescent="0.25">
      <c r="A92" s="98" t="s">
        <v>106</v>
      </c>
      <c r="B92" s="127">
        <v>1200</v>
      </c>
      <c r="C92" s="37" t="s">
        <v>107</v>
      </c>
      <c r="D92" s="92">
        <v>0</v>
      </c>
      <c r="E92" s="26" t="s">
        <v>108</v>
      </c>
      <c r="F92" s="126">
        <v>62.2</v>
      </c>
      <c r="G92" s="26" t="s">
        <v>109</v>
      </c>
      <c r="H92" s="12"/>
      <c r="I92" s="32">
        <f>(B92*D92/100)*(F92/1000)</f>
        <v>0</v>
      </c>
      <c r="J92" s="32"/>
      <c r="K92" s="125"/>
      <c r="M92" s="128"/>
      <c r="U92" s="8"/>
      <c r="Z92" s="66" t="s">
        <v>1</v>
      </c>
    </row>
    <row r="93" spans="1:26" x14ac:dyDescent="0.25">
      <c r="A93" s="98" t="s">
        <v>110</v>
      </c>
      <c r="B93" s="127">
        <v>1200</v>
      </c>
      <c r="C93" s="37" t="s">
        <v>107</v>
      </c>
      <c r="D93" s="92">
        <v>3</v>
      </c>
      <c r="E93" s="26" t="s">
        <v>108</v>
      </c>
      <c r="F93" s="126">
        <f>(110.07/3.774)</f>
        <v>29.165341812400634</v>
      </c>
      <c r="G93" s="26" t="s">
        <v>109</v>
      </c>
      <c r="H93" s="12"/>
      <c r="I93" s="32">
        <f>IF(B93&lt;100,(B93*D93/100)*(F93/1000),30/1000)</f>
        <v>0.03</v>
      </c>
      <c r="J93" s="32"/>
      <c r="K93" s="125"/>
      <c r="M93" s="128"/>
      <c r="U93" s="8"/>
      <c r="Z93" s="66" t="s">
        <v>1</v>
      </c>
    </row>
    <row r="94" spans="1:26" x14ac:dyDescent="0.25">
      <c r="A94" s="173" t="s">
        <v>111</v>
      </c>
      <c r="B94" s="173"/>
      <c r="C94" s="37"/>
      <c r="D94" s="92">
        <v>2</v>
      </c>
      <c r="E94" s="26" t="s">
        <v>112</v>
      </c>
      <c r="F94" s="126">
        <v>1.58</v>
      </c>
      <c r="G94" s="26" t="s">
        <v>113</v>
      </c>
      <c r="H94" s="12"/>
      <c r="I94" s="32">
        <f>D94*F94</f>
        <v>3.16</v>
      </c>
      <c r="J94" s="32"/>
      <c r="K94" s="125"/>
      <c r="M94"/>
      <c r="U94" s="8"/>
      <c r="Z94" s="66"/>
    </row>
    <row r="95" spans="1:26" x14ac:dyDescent="0.25">
      <c r="A95" s="173" t="s">
        <v>114</v>
      </c>
      <c r="B95" s="159"/>
      <c r="C95" s="37"/>
      <c r="D95" s="92">
        <v>1</v>
      </c>
      <c r="E95" s="26" t="s">
        <v>112</v>
      </c>
      <c r="F95" s="126">
        <v>2.04</v>
      </c>
      <c r="G95" s="26" t="s">
        <v>113</v>
      </c>
      <c r="H95" s="12"/>
      <c r="I95" s="32">
        <f>D95*F95</f>
        <v>2.04</v>
      </c>
      <c r="J95" s="32"/>
      <c r="K95" s="125"/>
      <c r="M95"/>
      <c r="U95" s="8"/>
      <c r="Z95" s="66"/>
    </row>
    <row r="96" spans="1:26" x14ac:dyDescent="0.25">
      <c r="A96" s="98" t="s">
        <v>115</v>
      </c>
      <c r="B96" s="127"/>
      <c r="C96" s="37"/>
      <c r="D96" s="92">
        <v>0</v>
      </c>
      <c r="E96" s="26" t="s">
        <v>116</v>
      </c>
      <c r="F96" s="126">
        <v>27</v>
      </c>
      <c r="G96" s="26" t="s">
        <v>117</v>
      </c>
      <c r="H96" s="12"/>
      <c r="I96" s="32">
        <f>D96*F96</f>
        <v>0</v>
      </c>
      <c r="J96" s="32"/>
      <c r="K96" s="125"/>
      <c r="M96" s="128"/>
      <c r="U96" s="8"/>
      <c r="Z96" s="66"/>
    </row>
    <row r="97" spans="1:26" x14ac:dyDescent="0.25">
      <c r="A97" s="98" t="s">
        <v>118</v>
      </c>
      <c r="B97" s="37"/>
      <c r="C97" s="37"/>
      <c r="D97" s="92">
        <v>1</v>
      </c>
      <c r="E97" s="26" t="s">
        <v>119</v>
      </c>
      <c r="F97" s="126">
        <v>3.5</v>
      </c>
      <c r="G97" s="26" t="s">
        <v>117</v>
      </c>
      <c r="H97" s="12"/>
      <c r="I97" s="32">
        <f>D97*F97</f>
        <v>3.5</v>
      </c>
      <c r="J97" s="32"/>
      <c r="K97" s="125"/>
      <c r="M97"/>
      <c r="U97" s="8"/>
      <c r="Z97" s="66"/>
    </row>
    <row r="98" spans="1:26" ht="16.05" customHeight="1" x14ac:dyDescent="0.25">
      <c r="A98" s="105"/>
      <c r="B98" s="104" t="s">
        <v>120</v>
      </c>
      <c r="C98" s="77"/>
      <c r="D98" s="105"/>
      <c r="E98" s="105"/>
      <c r="F98" s="129"/>
      <c r="G98" s="105"/>
      <c r="H98" s="105"/>
      <c r="I98" s="105"/>
      <c r="J98" s="32">
        <f>ROUND((A90+D90)*(SUM(I91:I95))+((A90-A114)*SUM(I96:I97)),2)</f>
        <v>1248.19</v>
      </c>
      <c r="K98" s="125"/>
      <c r="M98"/>
      <c r="Z98" s="66"/>
    </row>
    <row r="99" spans="1:26" ht="24" customHeight="1" x14ac:dyDescent="0.25">
      <c r="A99" s="16">
        <f>ROUND(((D4*(G5/100))+0.25),0)</f>
        <v>93</v>
      </c>
      <c r="B99" s="11" t="s">
        <v>121</v>
      </c>
      <c r="C99" s="12"/>
      <c r="D99" s="12"/>
      <c r="E99" s="12"/>
      <c r="F99" s="130"/>
      <c r="G99" s="12"/>
      <c r="H99" s="12"/>
      <c r="I99" s="32"/>
      <c r="J99" s="32"/>
      <c r="K99" s="3"/>
    </row>
    <row r="100" spans="1:26" x14ac:dyDescent="0.25">
      <c r="A100" s="98" t="s">
        <v>103</v>
      </c>
      <c r="B100" s="37"/>
      <c r="C100" s="37"/>
      <c r="D100" s="92">
        <v>2</v>
      </c>
      <c r="E100" s="26" t="s">
        <v>104</v>
      </c>
      <c r="F100" s="126">
        <v>1.51</v>
      </c>
      <c r="G100" s="26" t="s">
        <v>105</v>
      </c>
      <c r="H100" s="12"/>
      <c r="I100" s="32">
        <f>D100*F100</f>
        <v>3.02</v>
      </c>
      <c r="J100" s="32"/>
      <c r="K100" s="3"/>
      <c r="O100" s="8"/>
      <c r="P100"/>
      <c r="Q100"/>
      <c r="R100"/>
      <c r="S100"/>
    </row>
    <row r="101" spans="1:26" x14ac:dyDescent="0.25">
      <c r="A101" s="173" t="s">
        <v>122</v>
      </c>
      <c r="B101" s="173"/>
      <c r="C101" s="37"/>
      <c r="D101" s="92">
        <v>2</v>
      </c>
      <c r="E101" s="26" t="s">
        <v>112</v>
      </c>
      <c r="F101" s="126">
        <f>(3.11+0.56)/2</f>
        <v>1.835</v>
      </c>
      <c r="G101" s="26" t="s">
        <v>113</v>
      </c>
      <c r="H101" s="12"/>
      <c r="I101" s="32">
        <f>D101*F101</f>
        <v>3.67</v>
      </c>
      <c r="J101" s="32"/>
      <c r="K101" s="125"/>
      <c r="M101"/>
      <c r="U101" s="8"/>
      <c r="Z101" s="66"/>
    </row>
    <row r="102" spans="1:26" x14ac:dyDescent="0.25">
      <c r="A102" s="173" t="s">
        <v>123</v>
      </c>
      <c r="B102" s="159"/>
      <c r="C102" s="37"/>
      <c r="D102" s="92">
        <v>1</v>
      </c>
      <c r="E102" s="26" t="s">
        <v>112</v>
      </c>
      <c r="F102" s="126">
        <v>1.63</v>
      </c>
      <c r="G102" s="26" t="s">
        <v>113</v>
      </c>
      <c r="H102" s="12"/>
      <c r="I102" s="32">
        <f>D102*F102</f>
        <v>1.63</v>
      </c>
      <c r="J102" s="32"/>
      <c r="K102" s="125"/>
      <c r="M102"/>
      <c r="U102" s="8"/>
      <c r="Z102" s="66"/>
    </row>
    <row r="103" spans="1:26" x14ac:dyDescent="0.25">
      <c r="A103" s="98" t="s">
        <v>124</v>
      </c>
      <c r="B103" s="37"/>
      <c r="C103" s="37"/>
      <c r="D103" s="92">
        <v>1</v>
      </c>
      <c r="E103" s="26" t="s">
        <v>112</v>
      </c>
      <c r="F103" s="126">
        <v>0</v>
      </c>
      <c r="G103" s="26" t="s">
        <v>113</v>
      </c>
      <c r="H103" s="12"/>
      <c r="I103" s="32">
        <f>D103*F103</f>
        <v>0</v>
      </c>
      <c r="J103" s="32"/>
      <c r="K103" s="3"/>
      <c r="L103" s="35" t="s">
        <v>1</v>
      </c>
      <c r="M103" s="8" t="s">
        <v>1</v>
      </c>
      <c r="N103" s="35" t="s">
        <v>1</v>
      </c>
      <c r="U103" s="8" t="s">
        <v>1</v>
      </c>
    </row>
    <row r="104" spans="1:26" x14ac:dyDescent="0.25">
      <c r="A104" s="98" t="s">
        <v>106</v>
      </c>
      <c r="B104" s="127">
        <v>500</v>
      </c>
      <c r="C104" s="37" t="s">
        <v>107</v>
      </c>
      <c r="D104" s="92">
        <v>5</v>
      </c>
      <c r="E104" s="26" t="s">
        <v>108</v>
      </c>
      <c r="F104" s="126">
        <v>62.2</v>
      </c>
      <c r="G104" s="26" t="s">
        <v>109</v>
      </c>
      <c r="H104" s="12"/>
      <c r="I104" s="32">
        <f>(B104*D104/100)*(F104/1000)</f>
        <v>1.5550000000000002</v>
      </c>
      <c r="J104" s="32"/>
      <c r="K104" s="125"/>
      <c r="M104" s="128"/>
      <c r="U104" s="8"/>
      <c r="Z104" s="66" t="s">
        <v>1</v>
      </c>
    </row>
    <row r="105" spans="1:26" x14ac:dyDescent="0.25">
      <c r="A105" s="98" t="s">
        <v>125</v>
      </c>
      <c r="B105" s="37"/>
      <c r="C105" s="37"/>
      <c r="D105" s="92">
        <v>2</v>
      </c>
      <c r="E105" s="26" t="s">
        <v>126</v>
      </c>
      <c r="F105" s="126">
        <v>2</v>
      </c>
      <c r="G105" s="26" t="s">
        <v>127</v>
      </c>
      <c r="H105" s="12"/>
      <c r="I105" s="32">
        <f>D105*F105</f>
        <v>4</v>
      </c>
      <c r="J105" s="32"/>
      <c r="K105" s="3"/>
      <c r="L105" s="131"/>
      <c r="M105" s="132"/>
      <c r="N105" s="131"/>
      <c r="O105" s="131"/>
      <c r="P105" s="131"/>
      <c r="U105" s="8"/>
      <c r="Z105" s="66"/>
    </row>
    <row r="106" spans="1:26" ht="20.25" customHeight="1" x14ac:dyDescent="0.25">
      <c r="A106" s="105"/>
      <c r="B106" s="104" t="s">
        <v>128</v>
      </c>
      <c r="C106" s="105"/>
      <c r="D106" s="77"/>
      <c r="E106" s="105"/>
      <c r="F106" s="105"/>
      <c r="G106" s="105"/>
      <c r="H106" s="105"/>
      <c r="I106" s="105"/>
      <c r="J106" s="32">
        <f>ROUND((SUM(I100:I104)*A99)+(I105*(A99/2)),2)</f>
        <v>1104.3800000000001</v>
      </c>
      <c r="K106" s="3"/>
      <c r="L106" s="131"/>
      <c r="M106" s="132"/>
      <c r="N106" s="131"/>
      <c r="O106" s="131"/>
      <c r="P106" s="131"/>
      <c r="U106" s="8" t="s">
        <v>1</v>
      </c>
      <c r="Z106" s="66" t="s">
        <v>1</v>
      </c>
    </row>
    <row r="107" spans="1:26" ht="21" customHeight="1" x14ac:dyDescent="0.25">
      <c r="A107" s="16">
        <f>G70</f>
        <v>0</v>
      </c>
      <c r="B107" s="11" t="s">
        <v>129</v>
      </c>
      <c r="C107" s="12"/>
      <c r="D107" s="12"/>
      <c r="E107" s="12"/>
      <c r="F107" s="130"/>
      <c r="G107" s="12"/>
      <c r="H107" s="12"/>
      <c r="I107" s="32"/>
      <c r="J107" s="32"/>
      <c r="K107" s="133"/>
      <c r="L107" s="35" t="s">
        <v>1</v>
      </c>
      <c r="M107" s="8" t="s">
        <v>1</v>
      </c>
      <c r="N107" s="35" t="s">
        <v>1</v>
      </c>
      <c r="U107" s="8" t="s">
        <v>1</v>
      </c>
      <c r="Z107" s="66" t="s">
        <v>1</v>
      </c>
    </row>
    <row r="108" spans="1:26" x14ac:dyDescent="0.25">
      <c r="A108" s="98" t="s">
        <v>130</v>
      </c>
      <c r="B108" s="37"/>
      <c r="C108" s="37"/>
      <c r="D108" s="92">
        <v>1</v>
      </c>
      <c r="E108" s="26" t="s">
        <v>112</v>
      </c>
      <c r="F108" s="126">
        <v>3.5</v>
      </c>
      <c r="G108" s="26" t="s">
        <v>113</v>
      </c>
      <c r="H108" s="12"/>
      <c r="I108" s="32">
        <f>D108*F108</f>
        <v>3.5</v>
      </c>
      <c r="J108" s="32"/>
      <c r="K108" s="133"/>
      <c r="L108" s="131"/>
      <c r="M108" s="132"/>
      <c r="N108" s="131"/>
      <c r="O108" s="131"/>
      <c r="P108" s="131"/>
      <c r="U108" s="8" t="s">
        <v>1</v>
      </c>
      <c r="Z108" s="66" t="s">
        <v>1</v>
      </c>
    </row>
    <row r="109" spans="1:26" ht="15" customHeight="1" x14ac:dyDescent="0.25">
      <c r="A109" s="98" t="s">
        <v>103</v>
      </c>
      <c r="B109" s="37"/>
      <c r="C109" s="37"/>
      <c r="D109" s="92">
        <v>2</v>
      </c>
      <c r="E109" s="26" t="s">
        <v>104</v>
      </c>
      <c r="F109" s="126">
        <v>1.51</v>
      </c>
      <c r="G109" s="26" t="s">
        <v>105</v>
      </c>
      <c r="H109" s="12"/>
      <c r="I109" s="32">
        <f>D109*F109</f>
        <v>3.02</v>
      </c>
      <c r="J109" s="32"/>
      <c r="K109" s="133"/>
      <c r="L109" s="35"/>
      <c r="M109" s="8"/>
      <c r="N109" s="35"/>
      <c r="U109" s="8"/>
      <c r="Z109" s="66"/>
    </row>
    <row r="110" spans="1:26" ht="15" customHeight="1" x14ac:dyDescent="0.25">
      <c r="A110" s="173" t="s">
        <v>111</v>
      </c>
      <c r="B110" s="173"/>
      <c r="C110" s="37"/>
      <c r="D110" s="92">
        <v>2</v>
      </c>
      <c r="E110" s="26" t="s">
        <v>112</v>
      </c>
      <c r="F110" s="126">
        <v>1.58</v>
      </c>
      <c r="G110" s="26" t="s">
        <v>113</v>
      </c>
      <c r="H110" s="12"/>
      <c r="I110" s="32">
        <f>D110*F110</f>
        <v>3.16</v>
      </c>
      <c r="J110" s="32"/>
      <c r="K110" s="133"/>
      <c r="L110" s="35"/>
      <c r="M110" s="8"/>
      <c r="N110" s="35"/>
      <c r="U110" s="8"/>
      <c r="Z110" s="66"/>
    </row>
    <row r="111" spans="1:26" x14ac:dyDescent="0.25">
      <c r="A111" s="173" t="s">
        <v>114</v>
      </c>
      <c r="B111" s="159"/>
      <c r="C111" s="37"/>
      <c r="D111" s="92">
        <v>1</v>
      </c>
      <c r="E111" s="26" t="s">
        <v>112</v>
      </c>
      <c r="F111" s="126">
        <v>2.04</v>
      </c>
      <c r="G111" s="26" t="s">
        <v>113</v>
      </c>
      <c r="H111" s="12"/>
      <c r="I111" s="32">
        <f>D111*F111</f>
        <v>2.04</v>
      </c>
      <c r="J111" s="32"/>
      <c r="K111" s="125"/>
      <c r="M111"/>
      <c r="U111" s="8"/>
      <c r="Z111" s="66"/>
    </row>
    <row r="112" spans="1:26" x14ac:dyDescent="0.25">
      <c r="A112" s="98" t="s">
        <v>106</v>
      </c>
      <c r="B112" s="127">
        <v>800</v>
      </c>
      <c r="C112" s="37" t="s">
        <v>107</v>
      </c>
      <c r="D112" s="92">
        <v>5</v>
      </c>
      <c r="E112" s="26" t="s">
        <v>108</v>
      </c>
      <c r="F112" s="126">
        <v>62.2</v>
      </c>
      <c r="G112" s="26" t="s">
        <v>109</v>
      </c>
      <c r="H112" s="12"/>
      <c r="I112" s="32">
        <f>(B112*D112/100)*(F112/1000)</f>
        <v>2.4880000000000004</v>
      </c>
      <c r="J112" s="32"/>
      <c r="K112" s="125"/>
      <c r="M112" s="128"/>
      <c r="U112" s="8"/>
      <c r="Z112" s="66" t="s">
        <v>1</v>
      </c>
    </row>
    <row r="113" spans="1:26" ht="21" customHeight="1" x14ac:dyDescent="0.25">
      <c r="A113" s="105"/>
      <c r="B113" s="104" t="s">
        <v>131</v>
      </c>
      <c r="C113" s="105"/>
      <c r="D113" s="105"/>
      <c r="E113" s="105"/>
      <c r="F113" s="129"/>
      <c r="G113" s="105"/>
      <c r="H113" s="105"/>
      <c r="I113" s="105"/>
      <c r="J113" s="32">
        <f>ROUND(A107*(SUM(I108:I112)),2)</f>
        <v>0</v>
      </c>
      <c r="K113" s="133"/>
      <c r="L113" s="35" t="s">
        <v>1</v>
      </c>
      <c r="M113" s="8" t="s">
        <v>1</v>
      </c>
      <c r="N113" s="35" t="s">
        <v>1</v>
      </c>
      <c r="U113" s="8" t="s">
        <v>1</v>
      </c>
      <c r="Z113" s="66" t="s">
        <v>1</v>
      </c>
    </row>
    <row r="114" spans="1:26" ht="21" customHeight="1" x14ac:dyDescent="0.25">
      <c r="A114" s="16">
        <f>H70</f>
        <v>15</v>
      </c>
      <c r="B114" s="11" t="s">
        <v>132</v>
      </c>
      <c r="C114" s="12"/>
      <c r="D114" s="12"/>
      <c r="E114" s="12"/>
      <c r="F114" s="134" t="s">
        <v>133</v>
      </c>
      <c r="G114" s="12"/>
      <c r="H114" s="12"/>
      <c r="I114" s="32"/>
      <c r="J114" s="32"/>
      <c r="K114" s="133"/>
      <c r="L114" s="35" t="s">
        <v>1</v>
      </c>
      <c r="M114" s="8" t="s">
        <v>1</v>
      </c>
      <c r="N114" s="35" t="s">
        <v>1</v>
      </c>
      <c r="U114" s="8" t="s">
        <v>1</v>
      </c>
      <c r="Z114" s="66" t="s">
        <v>1</v>
      </c>
    </row>
    <row r="115" spans="1:26" x14ac:dyDescent="0.25">
      <c r="A115" s="98" t="s">
        <v>106</v>
      </c>
      <c r="B115" s="127">
        <v>1100</v>
      </c>
      <c r="C115" s="37" t="s">
        <v>107</v>
      </c>
      <c r="D115" s="92">
        <v>5</v>
      </c>
      <c r="E115" s="26" t="s">
        <v>108</v>
      </c>
      <c r="F115" s="126">
        <v>62.2</v>
      </c>
      <c r="G115" s="26" t="s">
        <v>109</v>
      </c>
      <c r="H115" s="12"/>
      <c r="I115" s="32">
        <f>(B115*D115/100)*(F115/1000)</f>
        <v>3.4210000000000003</v>
      </c>
      <c r="J115" s="32"/>
      <c r="K115" s="125"/>
      <c r="M115" s="128"/>
      <c r="U115" s="8"/>
      <c r="Z115" s="66" t="s">
        <v>1</v>
      </c>
    </row>
    <row r="116" spans="1:26" x14ac:dyDescent="0.25">
      <c r="A116" s="98" t="s">
        <v>115</v>
      </c>
      <c r="B116" s="127"/>
      <c r="C116" s="37"/>
      <c r="D116" s="92">
        <v>1</v>
      </c>
      <c r="E116" s="26" t="s">
        <v>116</v>
      </c>
      <c r="F116" s="126">
        <v>27</v>
      </c>
      <c r="G116" s="26" t="s">
        <v>117</v>
      </c>
      <c r="H116" s="12"/>
      <c r="I116" s="32">
        <f>D116*F116</f>
        <v>27</v>
      </c>
      <c r="J116" s="32"/>
      <c r="K116" s="125"/>
      <c r="M116" s="128"/>
      <c r="U116" s="8"/>
      <c r="Z116" s="66"/>
    </row>
    <row r="117" spans="1:26" x14ac:dyDescent="0.25">
      <c r="A117" s="98" t="s">
        <v>118</v>
      </c>
      <c r="B117" s="37"/>
      <c r="C117" s="37"/>
      <c r="D117" s="92">
        <v>1</v>
      </c>
      <c r="E117" s="26" t="s">
        <v>119</v>
      </c>
      <c r="F117" s="126">
        <v>3.5</v>
      </c>
      <c r="G117" s="26" t="s">
        <v>117</v>
      </c>
      <c r="H117" s="12"/>
      <c r="I117" s="32">
        <f>D117*F117</f>
        <v>3.5</v>
      </c>
      <c r="J117" s="32"/>
      <c r="K117" s="125"/>
      <c r="M117"/>
      <c r="U117" s="8"/>
      <c r="Z117" s="66"/>
    </row>
    <row r="118" spans="1:26" ht="21" customHeight="1" x14ac:dyDescent="0.25">
      <c r="A118" s="105"/>
      <c r="B118" s="104" t="s">
        <v>134</v>
      </c>
      <c r="C118" s="105"/>
      <c r="D118" s="105"/>
      <c r="E118" s="105"/>
      <c r="F118" s="105"/>
      <c r="G118" s="105"/>
      <c r="H118" s="105"/>
      <c r="I118" s="105"/>
      <c r="J118" s="32">
        <f>ROUND(SUM(I115:I117)*A114,2)</f>
        <v>508.82</v>
      </c>
      <c r="K118" s="3"/>
      <c r="L118" s="35" t="s">
        <v>1</v>
      </c>
      <c r="M118" s="8" t="s">
        <v>1</v>
      </c>
      <c r="N118" s="35" t="s">
        <v>1</v>
      </c>
      <c r="U118" s="8" t="s">
        <v>1</v>
      </c>
    </row>
    <row r="119" spans="1:26" ht="24" customHeight="1" x14ac:dyDescent="0.25">
      <c r="A119" s="173" t="s">
        <v>135</v>
      </c>
      <c r="B119" s="174"/>
      <c r="D119" s="92">
        <v>1</v>
      </c>
      <c r="E119" s="12" t="s">
        <v>136</v>
      </c>
      <c r="F119" s="135">
        <v>250</v>
      </c>
      <c r="G119" s="26" t="s">
        <v>137</v>
      </c>
      <c r="H119" s="108" t="s">
        <v>138</v>
      </c>
      <c r="I119" s="108"/>
      <c r="J119" s="32">
        <f>D119*F119</f>
        <v>250</v>
      </c>
      <c r="K119" s="3"/>
      <c r="L119" s="35" t="s">
        <v>1</v>
      </c>
      <c r="M119" s="8" t="s">
        <v>1</v>
      </c>
      <c r="N119" s="35" t="s">
        <v>1</v>
      </c>
      <c r="U119" s="8" t="s">
        <v>1</v>
      </c>
    </row>
    <row r="120" spans="1:26" ht="12" customHeight="1" x14ac:dyDescent="0.25">
      <c r="A120" s="98" t="s">
        <v>139</v>
      </c>
      <c r="B120" s="26"/>
      <c r="D120" s="92"/>
      <c r="E120" s="12"/>
      <c r="F120" s="135"/>
      <c r="G120" s="26"/>
      <c r="H120" s="12"/>
      <c r="I120" s="32"/>
      <c r="J120" s="32"/>
      <c r="K120" s="3"/>
      <c r="L120" s="35"/>
      <c r="M120" s="8"/>
      <c r="N120" s="35"/>
      <c r="U120" s="8"/>
    </row>
    <row r="121" spans="1:26" ht="20.25" customHeight="1" x14ac:dyDescent="0.25">
      <c r="A121" s="136" t="s">
        <v>140</v>
      </c>
      <c r="B121" s="12"/>
      <c r="C121" s="108" t="s">
        <v>138</v>
      </c>
      <c r="D121" s="108"/>
      <c r="E121" s="137"/>
      <c r="F121" s="108"/>
      <c r="G121" s="108"/>
      <c r="H121" s="108"/>
      <c r="I121" s="108"/>
      <c r="J121" s="138">
        <f>J98+J106+J113+J118+J119</f>
        <v>3111.3900000000003</v>
      </c>
      <c r="K121" s="125"/>
      <c r="L121" s="35" t="s">
        <v>1</v>
      </c>
      <c r="M121" s="8"/>
      <c r="N121" s="35"/>
      <c r="U121" s="8" t="s">
        <v>1</v>
      </c>
    </row>
    <row r="122" spans="1:26" ht="15.6" thickBot="1" x14ac:dyDescent="0.3">
      <c r="A122" s="139"/>
      <c r="B122" s="140"/>
      <c r="C122" s="140"/>
      <c r="D122" s="140"/>
      <c r="E122" s="141"/>
      <c r="F122" s="142"/>
      <c r="G122" s="141"/>
      <c r="H122" s="143"/>
      <c r="I122" s="143"/>
      <c r="J122" s="144"/>
      <c r="K122" s="125"/>
      <c r="L122" s="35"/>
      <c r="M122" s="35"/>
      <c r="N122" s="35"/>
      <c r="S122" s="8" t="s">
        <v>1</v>
      </c>
      <c r="X122" s="66" t="s">
        <v>1</v>
      </c>
    </row>
    <row r="123" spans="1:26" ht="24" customHeight="1" x14ac:dyDescent="0.25">
      <c r="F123" s="145" t="s">
        <v>141</v>
      </c>
      <c r="G123"/>
      <c r="H123"/>
      <c r="J123"/>
      <c r="K123" s="8"/>
      <c r="L123" s="35"/>
      <c r="S123" s="8"/>
      <c r="X123" s="66"/>
    </row>
    <row r="124" spans="1:26" ht="15" customHeight="1" x14ac:dyDescent="0.25">
      <c r="A124" s="175" t="s">
        <v>142</v>
      </c>
      <c r="B124" s="159"/>
      <c r="C124" s="159"/>
      <c r="D124" s="159"/>
      <c r="E124" s="159"/>
      <c r="F124" s="159"/>
      <c r="G124" s="159"/>
      <c r="H124" s="159"/>
      <c r="I124" s="159"/>
      <c r="J124" s="159"/>
      <c r="K124" s="8"/>
      <c r="L124" s="35"/>
      <c r="S124" s="8"/>
      <c r="X124" s="66"/>
    </row>
    <row r="125" spans="1:26" x14ac:dyDescent="0.25">
      <c r="D125" s="146"/>
    </row>
    <row r="126" spans="1:26" x14ac:dyDescent="0.25">
      <c r="D126" s="146"/>
    </row>
    <row r="143" spans="1:10" x14ac:dyDescent="0.25">
      <c r="F143" s="147"/>
    </row>
    <row r="144" spans="1:10" x14ac:dyDescent="0.25">
      <c r="A144" s="8"/>
      <c r="B144" s="8"/>
      <c r="C144" s="8"/>
      <c r="D144" s="8"/>
      <c r="E144" s="8"/>
      <c r="G144" s="8"/>
      <c r="H144" s="8"/>
      <c r="I144" s="8"/>
      <c r="J144" s="8"/>
    </row>
    <row r="158" spans="2:16" x14ac:dyDescent="0.25">
      <c r="B158" s="35"/>
      <c r="C158" s="35"/>
      <c r="L158"/>
      <c r="M158" s="35"/>
      <c r="N158"/>
      <c r="O158"/>
      <c r="P158"/>
    </row>
    <row r="159" spans="2:16" x14ac:dyDescent="0.25">
      <c r="L159"/>
      <c r="M159" s="35"/>
      <c r="N159"/>
      <c r="O159"/>
      <c r="P159"/>
    </row>
    <row r="160" spans="2:16" x14ac:dyDescent="0.25">
      <c r="F160" s="147"/>
      <c r="L160"/>
      <c r="M160" s="35"/>
      <c r="N160"/>
      <c r="O160"/>
      <c r="P160"/>
    </row>
    <row r="161" spans="1:16" x14ac:dyDescent="0.25">
      <c r="A161" s="35"/>
      <c r="B161" s="35"/>
      <c r="C161" s="35"/>
      <c r="D161" s="35"/>
      <c r="E161" s="35"/>
    </row>
    <row r="162" spans="1:16" x14ac:dyDescent="0.25">
      <c r="B162" s="35"/>
      <c r="C162" s="35"/>
      <c r="K162" s="35"/>
      <c r="L162"/>
      <c r="M162" s="35"/>
      <c r="N162"/>
      <c r="O162"/>
      <c r="P162"/>
    </row>
    <row r="163" spans="1:16" x14ac:dyDescent="0.25">
      <c r="B163" s="35"/>
      <c r="C163" s="35"/>
      <c r="L163"/>
      <c r="M163" s="35"/>
      <c r="N163"/>
      <c r="O163"/>
      <c r="P163"/>
    </row>
    <row r="164" spans="1:16" x14ac:dyDescent="0.25">
      <c r="B164" s="35"/>
      <c r="C164" s="35"/>
      <c r="L164"/>
      <c r="M164" s="35"/>
      <c r="N164"/>
      <c r="O164"/>
      <c r="P164"/>
    </row>
    <row r="165" spans="1:16" x14ac:dyDescent="0.25">
      <c r="B165" s="35"/>
      <c r="C165" s="35"/>
      <c r="L165"/>
      <c r="M165" s="35"/>
      <c r="N165"/>
      <c r="O165"/>
      <c r="P165"/>
    </row>
    <row r="166" spans="1:16" x14ac:dyDescent="0.25">
      <c r="B166" s="35"/>
      <c r="C166" s="35"/>
    </row>
    <row r="167" spans="1:16" x14ac:dyDescent="0.25">
      <c r="B167" s="35"/>
      <c r="C167" s="35"/>
      <c r="L167"/>
      <c r="M167" s="35"/>
      <c r="N167"/>
      <c r="O167"/>
      <c r="P167"/>
    </row>
    <row r="168" spans="1:16" x14ac:dyDescent="0.25">
      <c r="B168" s="35"/>
      <c r="C168" s="35"/>
      <c r="L168"/>
      <c r="M168" s="35"/>
      <c r="N168"/>
      <c r="O168"/>
      <c r="P168"/>
    </row>
    <row r="169" spans="1:16" x14ac:dyDescent="0.25">
      <c r="B169" s="35"/>
      <c r="C169" s="35"/>
      <c r="L169"/>
      <c r="M169" s="35"/>
      <c r="N169"/>
      <c r="O169"/>
      <c r="P169"/>
    </row>
    <row r="170" spans="1:16" x14ac:dyDescent="0.25">
      <c r="B170" s="35"/>
      <c r="C170" s="35"/>
    </row>
    <row r="171" spans="1:16" x14ac:dyDescent="0.25">
      <c r="B171" s="35"/>
      <c r="C171" s="35"/>
    </row>
    <row r="172" spans="1:16" x14ac:dyDescent="0.25">
      <c r="B172" s="35"/>
      <c r="C172" s="35"/>
    </row>
    <row r="173" spans="1:16" x14ac:dyDescent="0.25">
      <c r="B173" s="35"/>
      <c r="C173" s="35"/>
    </row>
    <row r="174" spans="1:16" x14ac:dyDescent="0.25">
      <c r="B174" s="35"/>
      <c r="C174" s="35"/>
    </row>
    <row r="175" spans="1:16" x14ac:dyDescent="0.25">
      <c r="B175" s="35"/>
      <c r="C175" s="35"/>
    </row>
    <row r="176" spans="1:16" x14ac:dyDescent="0.25">
      <c r="B176" s="35"/>
      <c r="C176" s="35"/>
    </row>
    <row r="177" spans="2:3" x14ac:dyDescent="0.25">
      <c r="B177" s="35"/>
      <c r="C177" s="35"/>
    </row>
    <row r="178" spans="2:3" x14ac:dyDescent="0.25">
      <c r="B178" s="35"/>
      <c r="C178" s="35"/>
    </row>
    <row r="179" spans="2:3" x14ac:dyDescent="0.25">
      <c r="B179" s="35"/>
      <c r="C179" s="35"/>
    </row>
    <row r="180" spans="2:3" x14ac:dyDescent="0.25">
      <c r="B180" s="35"/>
      <c r="C180" s="35"/>
    </row>
    <row r="181" spans="2:3" x14ac:dyDescent="0.25">
      <c r="B181" s="35"/>
      <c r="C181" s="35"/>
    </row>
    <row r="182" spans="2:3" x14ac:dyDescent="0.25">
      <c r="B182" s="35"/>
      <c r="C182" s="35"/>
    </row>
    <row r="183" spans="2:3" x14ac:dyDescent="0.25">
      <c r="B183" s="35"/>
      <c r="C183" s="35"/>
    </row>
    <row r="184" spans="2:3" x14ac:dyDescent="0.25">
      <c r="B184" s="35"/>
      <c r="C184" s="35"/>
    </row>
    <row r="185" spans="2:3" x14ac:dyDescent="0.25">
      <c r="B185" s="35"/>
      <c r="C185" s="35"/>
    </row>
    <row r="186" spans="2:3" x14ac:dyDescent="0.25">
      <c r="B186" s="35"/>
      <c r="C186" s="35"/>
    </row>
    <row r="187" spans="2:3" x14ac:dyDescent="0.25">
      <c r="B187" s="35"/>
      <c r="C187" s="35"/>
    </row>
    <row r="188" spans="2:3" x14ac:dyDescent="0.25">
      <c r="B188" s="35"/>
      <c r="C188" s="35"/>
    </row>
    <row r="189" spans="2:3" x14ac:dyDescent="0.25">
      <c r="B189" s="35"/>
      <c r="C189" s="35"/>
    </row>
    <row r="190" spans="2:3" x14ac:dyDescent="0.25">
      <c r="B190" s="35"/>
      <c r="C190" s="35"/>
    </row>
    <row r="191" spans="2:3" x14ac:dyDescent="0.25">
      <c r="B191" s="35"/>
      <c r="C191" s="35"/>
    </row>
    <row r="192" spans="2:3" x14ac:dyDescent="0.25">
      <c r="B192" s="35"/>
      <c r="C192" s="35"/>
    </row>
    <row r="193" spans="2:3" x14ac:dyDescent="0.25">
      <c r="B193" s="35"/>
      <c r="C193" s="35"/>
    </row>
    <row r="194" spans="2:3" x14ac:dyDescent="0.25">
      <c r="B194" s="35"/>
      <c r="C194" s="35"/>
    </row>
    <row r="195" spans="2:3" x14ac:dyDescent="0.25">
      <c r="B195" s="35"/>
      <c r="C195" s="35"/>
    </row>
    <row r="196" spans="2:3" x14ac:dyDescent="0.25">
      <c r="B196" s="35"/>
      <c r="C196" s="35"/>
    </row>
    <row r="197" spans="2:3" x14ac:dyDescent="0.25">
      <c r="B197" s="35"/>
      <c r="C197" s="35"/>
    </row>
    <row r="198" spans="2:3" x14ac:dyDescent="0.25">
      <c r="B198" s="35"/>
      <c r="C198" s="35"/>
    </row>
    <row r="199" spans="2:3" x14ac:dyDescent="0.25">
      <c r="B199" s="35"/>
      <c r="C199" s="35"/>
    </row>
    <row r="200" spans="2:3" x14ac:dyDescent="0.25">
      <c r="B200" s="35"/>
      <c r="C200" s="35"/>
    </row>
    <row r="201" spans="2:3" x14ac:dyDescent="0.25">
      <c r="B201" s="35"/>
      <c r="C201" s="35"/>
    </row>
    <row r="202" spans="2:3" x14ac:dyDescent="0.25">
      <c r="B202" s="35"/>
      <c r="C202" s="35"/>
    </row>
    <row r="203" spans="2:3" x14ac:dyDescent="0.25">
      <c r="B203" s="35"/>
      <c r="C203" s="35"/>
    </row>
    <row r="204" spans="2:3" x14ac:dyDescent="0.25">
      <c r="B204" s="35"/>
      <c r="C204" s="35"/>
    </row>
    <row r="205" spans="2:3" x14ac:dyDescent="0.25">
      <c r="B205" s="35"/>
      <c r="C205" s="35"/>
    </row>
    <row r="206" spans="2:3" x14ac:dyDescent="0.25">
      <c r="B206" s="35"/>
      <c r="C206" s="35"/>
    </row>
    <row r="207" spans="2:3" x14ac:dyDescent="0.25">
      <c r="B207" s="35"/>
      <c r="C207" s="35"/>
    </row>
    <row r="208" spans="2:3" x14ac:dyDescent="0.25">
      <c r="B208" s="35"/>
      <c r="C208" s="35"/>
    </row>
    <row r="209" spans="2:3" x14ac:dyDescent="0.25">
      <c r="B209" s="35"/>
      <c r="C209" s="35"/>
    </row>
    <row r="210" spans="2:3" x14ac:dyDescent="0.25">
      <c r="B210" s="35"/>
      <c r="C210" s="35"/>
    </row>
    <row r="211" spans="2:3" x14ac:dyDescent="0.25">
      <c r="B211" s="35"/>
      <c r="C211" s="35"/>
    </row>
    <row r="212" spans="2:3" x14ac:dyDescent="0.25">
      <c r="B212" s="35"/>
      <c r="C212" s="35"/>
    </row>
    <row r="213" spans="2:3" x14ac:dyDescent="0.25">
      <c r="B213" s="35"/>
      <c r="C213" s="35"/>
    </row>
    <row r="214" spans="2:3" x14ac:dyDescent="0.25">
      <c r="B214" s="35"/>
      <c r="C214" s="35"/>
    </row>
    <row r="215" spans="2:3" x14ac:dyDescent="0.25">
      <c r="B215" s="35"/>
      <c r="C215" s="35"/>
    </row>
    <row r="216" spans="2:3" x14ac:dyDescent="0.25">
      <c r="B216" s="35"/>
      <c r="C216" s="35"/>
    </row>
    <row r="217" spans="2:3" x14ac:dyDescent="0.25">
      <c r="B217" s="35"/>
      <c r="C217" s="35"/>
    </row>
    <row r="218" spans="2:3" x14ac:dyDescent="0.25">
      <c r="B218" s="35"/>
      <c r="C218" s="35"/>
    </row>
    <row r="219" spans="2:3" x14ac:dyDescent="0.25">
      <c r="B219" s="35"/>
      <c r="C219" s="35"/>
    </row>
    <row r="220" spans="2:3" x14ac:dyDescent="0.25">
      <c r="B220" s="35"/>
      <c r="C220" s="35"/>
    </row>
    <row r="221" spans="2:3" x14ac:dyDescent="0.25">
      <c r="B221" s="35"/>
      <c r="C221" s="35"/>
    </row>
  </sheetData>
  <mergeCells count="23">
    <mergeCell ref="H4:J4"/>
    <mergeCell ref="A111:B111"/>
    <mergeCell ref="A119:B119"/>
    <mergeCell ref="A124:J124"/>
    <mergeCell ref="B71:C71"/>
    <mergeCell ref="A94:B94"/>
    <mergeCell ref="A95:B95"/>
    <mergeCell ref="A101:B101"/>
    <mergeCell ref="A102:B102"/>
    <mergeCell ref="A110:B110"/>
    <mergeCell ref="B70:C70"/>
    <mergeCell ref="A3:J3"/>
    <mergeCell ref="B7:D7"/>
    <mergeCell ref="C31:D31"/>
    <mergeCell ref="C32:D32"/>
    <mergeCell ref="C33:D33"/>
    <mergeCell ref="A49:F49"/>
    <mergeCell ref="A52:B52"/>
    <mergeCell ref="D52:J52"/>
    <mergeCell ref="D54:J54"/>
    <mergeCell ref="A64:J64"/>
    <mergeCell ref="A67:F67"/>
    <mergeCell ref="F50:J50"/>
  </mergeCells>
  <printOptions horizontalCentered="1"/>
  <pageMargins left="1" right="1" top="0.5" bottom="0.6" header="0.5" footer="0.5"/>
  <pageSetup scale="67" fitToHeight="2" orientation="portrait" horizontalDpi="1200" verticalDpi="1200" r:id="rId1"/>
  <headerFooter alignWithMargins="0"/>
  <rowBreaks count="1" manualBreakCount="1">
    <brk id="65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Cow-Calf Herd on Shares</vt:lpstr>
      <vt:lpstr>'Cow-Calf Herd on Shares'!Print_Area</vt:lpstr>
    </vt:vector>
  </TitlesOfParts>
  <Company>College of Agriculture and Life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Stanley, Tom</cp:lastModifiedBy>
  <dcterms:created xsi:type="dcterms:W3CDTF">2015-12-03T14:26:16Z</dcterms:created>
  <dcterms:modified xsi:type="dcterms:W3CDTF">2024-11-19T17:33:41Z</dcterms:modified>
</cp:coreProperties>
</file>